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0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977\AC\Temp\"/>
    </mc:Choice>
  </mc:AlternateContent>
  <xr:revisionPtr revIDLastSave="0" documentId="8_{6B7DEC62-1CCE-41B4-B8A0-E222EA8AA32C}" xr6:coauthVersionLast="47" xr6:coauthVersionMax="47" xr10:uidLastSave="{00000000-0000-0000-0000-000000000000}"/>
  <bookViews>
    <workbookView xWindow="-60" yWindow="-60" windowWidth="15480" windowHeight="11640" firstSheet="18" activeTab="18" xr2:uid="{00000000-000D-0000-FFFF-FFFF00000000}"/>
  </bookViews>
  <sheets>
    <sheet name="Comparative Budget" sheetId="14" r:id="rId1"/>
    <sheet name="Your Budget" sheetId="1" r:id="rId2"/>
    <sheet name="Equipment" sheetId="2" r:id="rId3"/>
    <sheet name="35hp" sheetId="21" r:id="rId4"/>
    <sheet name="55hp" sheetId="5" r:id="rId5"/>
    <sheet name="70hp" sheetId="22" r:id="rId6"/>
    <sheet name="75hp" sheetId="20" r:id="rId7"/>
    <sheet name="80hp" sheetId="6" r:id="rId8"/>
    <sheet name="100hp" sheetId="23" r:id="rId9"/>
    <sheet name="110hp" sheetId="19" r:id="rId10"/>
    <sheet name="125hp" sheetId="16" r:id="rId11"/>
    <sheet name="130hp" sheetId="7" r:id="rId12"/>
    <sheet name="140hp" sheetId="17" r:id="rId13"/>
    <sheet name="180hp" sheetId="24" r:id="rId14"/>
    <sheet name="210hp" sheetId="25" r:id="rId15"/>
    <sheet name="SelfProp" sheetId="9" r:id="rId16"/>
    <sheet name="MiscEquip" sheetId="18" r:id="rId17"/>
    <sheet name="yourherbicides" sheetId="10" r:id="rId18"/>
    <sheet name="yourfungicides" sheetId="11" r:id="rId19"/>
    <sheet name="yourinsecticides" sheetId="12" r:id="rId20"/>
    <sheet name="yourfumigant" sheetId="13" r:id="rId21"/>
    <sheet name="MACH0809" sheetId="26" r:id="rId22"/>
    <sheet name="MACH1011" sheetId="28" r:id="rId23"/>
    <sheet name="MACH1718" sheetId="29" r:id="rId24"/>
  </sheets>
  <definedNames>
    <definedName name="_xlnm.Print_Area" localSheetId="2">Equipment!$A$1:$F$52</definedName>
    <definedName name="_xlnm.Print_Titles" localSheetId="21">MACH0809!$1:$4</definedName>
    <definedName name="_xlnm.Print_Titles" localSheetId="22">MACH1011!$1:$5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3" l="1"/>
  <c r="E11" i="14" s="1"/>
  <c r="F19" i="11"/>
  <c r="F18" i="11"/>
  <c r="F17" i="11"/>
  <c r="F16" i="11"/>
  <c r="F26" i="12"/>
  <c r="F25" i="12"/>
  <c r="F24" i="12"/>
  <c r="F23" i="12"/>
  <c r="F22" i="12"/>
  <c r="F21" i="12"/>
  <c r="F20" i="12"/>
  <c r="F19" i="12"/>
  <c r="F18" i="12"/>
  <c r="F17" i="12"/>
  <c r="E16" i="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7" i="21"/>
  <c r="D136" i="29"/>
  <c r="C4" i="21"/>
  <c r="D4" i="21"/>
  <c r="F4" i="21"/>
  <c r="F28" i="21"/>
  <c r="F29" i="21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7" i="5"/>
  <c r="D138" i="29"/>
  <c r="C4" i="5"/>
  <c r="D4" i="5"/>
  <c r="F4" i="5"/>
  <c r="F28" i="5"/>
  <c r="F29" i="5"/>
  <c r="D35" i="29"/>
  <c r="C6" i="22"/>
  <c r="F6" i="22"/>
  <c r="D38" i="29"/>
  <c r="C7" i="22"/>
  <c r="F7" i="22"/>
  <c r="D167" i="29"/>
  <c r="C8" i="22"/>
  <c r="F8" i="22"/>
  <c r="D47" i="29"/>
  <c r="C9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7" i="22"/>
  <c r="D140" i="29"/>
  <c r="C4" i="22"/>
  <c r="D4" i="22"/>
  <c r="F4" i="22"/>
  <c r="F28" i="22"/>
  <c r="F29" i="22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7" i="20"/>
  <c r="D141" i="29"/>
  <c r="C4" i="20"/>
  <c r="D4" i="20"/>
  <c r="F4" i="20"/>
  <c r="F28" i="20"/>
  <c r="F29" i="20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7" i="6"/>
  <c r="D142" i="29"/>
  <c r="C3" i="6"/>
  <c r="D3" i="6"/>
  <c r="F3" i="6"/>
  <c r="F28" i="6"/>
  <c r="F29" i="6"/>
  <c r="D105" i="29"/>
  <c r="C6" i="23"/>
  <c r="F6" i="23"/>
  <c r="D129" i="29"/>
  <c r="C7" i="23"/>
  <c r="F7" i="23"/>
  <c r="D131" i="29"/>
  <c r="C8" i="23"/>
  <c r="F8" i="23"/>
  <c r="D60" i="29"/>
  <c r="C9" i="23"/>
  <c r="F9" i="23"/>
  <c r="D92" i="29"/>
  <c r="C10" i="23"/>
  <c r="F10" i="23"/>
  <c r="D61" i="29"/>
  <c r="C11" i="23"/>
  <c r="F11" i="23"/>
  <c r="D165" i="29"/>
  <c r="C12" i="23"/>
  <c r="F12" i="23"/>
  <c r="D63" i="29"/>
  <c r="C13" i="23"/>
  <c r="F13" i="23"/>
  <c r="D95" i="29"/>
  <c r="C14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7" i="23"/>
  <c r="D145" i="29"/>
  <c r="C4" i="23"/>
  <c r="D4" i="23"/>
  <c r="F4" i="23"/>
  <c r="F28" i="23"/>
  <c r="F29" i="23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7" i="19"/>
  <c r="D146" i="29"/>
  <c r="C4" i="19"/>
  <c r="D4" i="19"/>
  <c r="F4" i="19"/>
  <c r="F28" i="19"/>
  <c r="F29" i="19"/>
  <c r="D24" i="29"/>
  <c r="C6" i="16"/>
  <c r="F6" i="16"/>
  <c r="D65" i="29"/>
  <c r="C7" i="16"/>
  <c r="F7" i="16"/>
  <c r="D71" i="29"/>
  <c r="C8" i="16"/>
  <c r="F8" i="16"/>
  <c r="D68" i="29"/>
  <c r="C9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7" i="16"/>
  <c r="D147" i="29"/>
  <c r="C4" i="16"/>
  <c r="D4" i="16"/>
  <c r="F4" i="16"/>
  <c r="F28" i="16"/>
  <c r="F29" i="16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7" i="7"/>
  <c r="D148" i="29"/>
  <c r="C4" i="7"/>
  <c r="D4" i="7"/>
  <c r="F4" i="7"/>
  <c r="F28" i="7"/>
  <c r="F29" i="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7" i="17"/>
  <c r="D149" i="29"/>
  <c r="C4" i="17"/>
  <c r="D4" i="17"/>
  <c r="F4" i="17"/>
  <c r="F28" i="17"/>
  <c r="F29" i="17"/>
  <c r="C6" i="24"/>
  <c r="F6" i="24"/>
  <c r="D51" i="29"/>
  <c r="C7" i="24"/>
  <c r="F7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7" i="24"/>
  <c r="D153" i="29"/>
  <c r="C4" i="24"/>
  <c r="D4" i="24"/>
  <c r="F4" i="24"/>
  <c r="F28" i="24"/>
  <c r="F29" i="24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7" i="25"/>
  <c r="D154" i="29"/>
  <c r="C4" i="25"/>
  <c r="D4" i="25"/>
  <c r="F4" i="25"/>
  <c r="F28" i="25"/>
  <c r="F29" i="25"/>
  <c r="D26" i="9"/>
  <c r="C29" i="9"/>
  <c r="D77" i="29"/>
  <c r="C4" i="18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6" i="18"/>
  <c r="E41" i="1"/>
  <c r="J40" i="14"/>
  <c r="C77" i="29"/>
  <c r="B4" i="18"/>
  <c r="C51" i="29"/>
  <c r="B7" i="24"/>
  <c r="C24" i="29"/>
  <c r="B6" i="24"/>
  <c r="C68" i="29"/>
  <c r="B9" i="16"/>
  <c r="C71" i="29"/>
  <c r="B8" i="16"/>
  <c r="C65" i="29"/>
  <c r="B7" i="16"/>
  <c r="B6" i="16"/>
  <c r="C95" i="29"/>
  <c r="B14" i="23"/>
  <c r="C63" i="29"/>
  <c r="B13" i="23"/>
  <c r="C165" i="29"/>
  <c r="B12" i="23"/>
  <c r="C61" i="29"/>
  <c r="B11" i="23"/>
  <c r="C92" i="29"/>
  <c r="B10" i="23"/>
  <c r="C60" i="29"/>
  <c r="B9" i="23"/>
  <c r="C131" i="29"/>
  <c r="B8" i="23"/>
  <c r="C129" i="29"/>
  <c r="B7" i="23"/>
  <c r="C105" i="29"/>
  <c r="B6" i="23"/>
  <c r="C47" i="29"/>
  <c r="B9" i="22"/>
  <c r="C167" i="29"/>
  <c r="B8" i="22"/>
  <c r="C38" i="29"/>
  <c r="B7" i="22"/>
  <c r="C35" i="29"/>
  <c r="B6" i="22"/>
  <c r="E6" i="22"/>
  <c r="E7" i="22"/>
  <c r="E8" i="22"/>
  <c r="E9" i="22"/>
  <c r="E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7" i="22"/>
  <c r="C140" i="29"/>
  <c r="B4" i="22"/>
  <c r="E4" i="22"/>
  <c r="E28" i="22"/>
  <c r="E29" i="22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7" i="23"/>
  <c r="C145" i="29"/>
  <c r="B4" i="23"/>
  <c r="E4" i="23"/>
  <c r="E28" i="23"/>
  <c r="E29" i="23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7" i="16"/>
  <c r="C147" i="29"/>
  <c r="B4" i="16"/>
  <c r="E4" i="16"/>
  <c r="E28" i="16"/>
  <c r="E29" i="16"/>
  <c r="E6" i="24"/>
  <c r="E7" i="24"/>
  <c r="E8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7" i="24"/>
  <c r="C153" i="29"/>
  <c r="B4" i="24"/>
  <c r="E4" i="24"/>
  <c r="E28" i="24"/>
  <c r="E29" i="24"/>
  <c r="E4" i="18"/>
  <c r="E5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6" i="18"/>
  <c r="E6" i="1"/>
  <c r="J9" i="14"/>
  <c r="E6" i="21"/>
  <c r="E7" i="21"/>
  <c r="E8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7" i="21"/>
  <c r="C136" i="29"/>
  <c r="B4" i="21"/>
  <c r="E4" i="21"/>
  <c r="E28" i="21"/>
  <c r="E29" i="21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7" i="5"/>
  <c r="C138" i="29"/>
  <c r="B4" i="5"/>
  <c r="E4" i="5"/>
  <c r="E28" i="5"/>
  <c r="E29" i="5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7" i="20"/>
  <c r="C141" i="29"/>
  <c r="B4" i="20"/>
  <c r="E4" i="20"/>
  <c r="E28" i="20"/>
  <c r="E29" i="20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7" i="6"/>
  <c r="C142" i="29"/>
  <c r="B3" i="6"/>
  <c r="E3" i="6"/>
  <c r="E28" i="6"/>
  <c r="E29" i="6"/>
  <c r="E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7" i="19"/>
  <c r="C146" i="29"/>
  <c r="B4" i="19"/>
  <c r="E4" i="19"/>
  <c r="E28" i="19"/>
  <c r="E29" i="19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7" i="7"/>
  <c r="C148" i="29"/>
  <c r="B4" i="7"/>
  <c r="E4" i="7"/>
  <c r="E28" i="7"/>
  <c r="E29" i="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7" i="17"/>
  <c r="C149" i="29"/>
  <c r="B4" i="17"/>
  <c r="E4" i="17"/>
  <c r="E28" i="17"/>
  <c r="E29" i="17"/>
  <c r="E6" i="25"/>
  <c r="E7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7" i="25"/>
  <c r="C154" i="29"/>
  <c r="B4" i="25"/>
  <c r="E4" i="25"/>
  <c r="E28" i="25"/>
  <c r="E29" i="25"/>
  <c r="B29" i="9"/>
  <c r="E14" i="1"/>
  <c r="J17" i="14"/>
  <c r="I5" i="14"/>
  <c r="H49" i="14"/>
  <c r="J5" i="14"/>
  <c r="F9" i="14"/>
  <c r="G9" i="14"/>
  <c r="F10" i="14"/>
  <c r="G10" i="14"/>
  <c r="F11" i="14"/>
  <c r="G11" i="14"/>
  <c r="F12" i="14"/>
  <c r="G12" i="14"/>
  <c r="F13" i="14"/>
  <c r="G13" i="14"/>
  <c r="F14" i="14"/>
  <c r="G14" i="14"/>
  <c r="F15" i="14"/>
  <c r="G15" i="14"/>
  <c r="F16" i="14"/>
  <c r="G16" i="14"/>
  <c r="F140" i="29"/>
  <c r="C7" i="2"/>
  <c r="D7" i="2"/>
  <c r="C10" i="2"/>
  <c r="D10" i="2"/>
  <c r="C13" i="2"/>
  <c r="D13" i="2"/>
  <c r="F145" i="29"/>
  <c r="C16" i="2"/>
  <c r="D16" i="2"/>
  <c r="C19" i="2"/>
  <c r="D19" i="2"/>
  <c r="F147" i="29"/>
  <c r="C22" i="2"/>
  <c r="D22" i="2"/>
  <c r="C25" i="2"/>
  <c r="D25" i="2"/>
  <c r="C28" i="2"/>
  <c r="D28" i="2"/>
  <c r="F153" i="29"/>
  <c r="C31" i="2"/>
  <c r="D31" i="2"/>
  <c r="F154" i="29"/>
  <c r="C34" i="2"/>
  <c r="D34" i="2"/>
  <c r="C37" i="2"/>
  <c r="D37" i="2"/>
  <c r="C40" i="2"/>
  <c r="D40" i="2"/>
  <c r="D46" i="2"/>
  <c r="F167" i="29"/>
  <c r="C6" i="2"/>
  <c r="D6" i="2"/>
  <c r="F129" i="29"/>
  <c r="C9" i="2"/>
  <c r="D9" i="2"/>
  <c r="F131" i="29"/>
  <c r="C12" i="2"/>
  <c r="D12" i="2"/>
  <c r="F63" i="29"/>
  <c r="C15" i="2"/>
  <c r="D15" i="2"/>
  <c r="C72" i="29"/>
  <c r="D72" i="29"/>
  <c r="F72" i="29"/>
  <c r="C18" i="2"/>
  <c r="D18" i="2"/>
  <c r="C66" i="29"/>
  <c r="D66" i="29"/>
  <c r="F66" i="29"/>
  <c r="C21" i="2"/>
  <c r="D21" i="2"/>
  <c r="C106" i="29"/>
  <c r="D106" i="29"/>
  <c r="F106" i="29"/>
  <c r="C24" i="2"/>
  <c r="D24" i="2"/>
  <c r="C96" i="29"/>
  <c r="D96" i="29"/>
  <c r="F96" i="29"/>
  <c r="C27" i="2"/>
  <c r="D27" i="2"/>
  <c r="F24" i="29"/>
  <c r="C30" i="2"/>
  <c r="D30" i="2"/>
  <c r="F51" i="29"/>
  <c r="C33" i="2"/>
  <c r="D33" i="2"/>
  <c r="F47" i="29"/>
  <c r="C36" i="2"/>
  <c r="D36" i="2"/>
  <c r="C15" i="29"/>
  <c r="D15" i="29"/>
  <c r="F15" i="29"/>
  <c r="C39" i="2"/>
  <c r="D39" i="2"/>
  <c r="D47" i="2"/>
  <c r="C73" i="29"/>
  <c r="D73" i="29"/>
  <c r="F73" i="29"/>
  <c r="C43" i="2"/>
  <c r="D43" i="2"/>
  <c r="C75" i="29"/>
  <c r="D75" i="29"/>
  <c r="F75" i="29"/>
  <c r="C44" i="2"/>
  <c r="D44" i="2"/>
  <c r="D49" i="2"/>
  <c r="D48" i="2"/>
  <c r="D51" i="2"/>
  <c r="E17" i="14"/>
  <c r="F17" i="14"/>
  <c r="G17" i="14"/>
  <c r="F18" i="14"/>
  <c r="G18" i="14"/>
  <c r="F19" i="14"/>
  <c r="G19" i="14"/>
  <c r="E20" i="14"/>
  <c r="F20" i="14"/>
  <c r="G20" i="14"/>
  <c r="F21" i="14"/>
  <c r="G21" i="14"/>
  <c r="F22" i="14"/>
  <c r="G22" i="14"/>
  <c r="F23" i="14"/>
  <c r="G23" i="14"/>
  <c r="F24" i="14"/>
  <c r="G24" i="14"/>
  <c r="F25" i="14"/>
  <c r="G25" i="14"/>
  <c r="F26" i="14"/>
  <c r="G26" i="14"/>
  <c r="F27" i="14"/>
  <c r="G27" i="14"/>
  <c r="F28" i="14"/>
  <c r="G28" i="14"/>
  <c r="F29" i="14"/>
  <c r="G29" i="14"/>
  <c r="E40" i="14"/>
  <c r="E42" i="14"/>
  <c r="F42" i="14"/>
  <c r="G42" i="14"/>
  <c r="F41" i="14"/>
  <c r="G41" i="14"/>
  <c r="C48" i="14"/>
  <c r="D48" i="14"/>
  <c r="F48" i="14"/>
  <c r="I48" i="14"/>
  <c r="C49" i="14"/>
  <c r="D49" i="14"/>
  <c r="F49" i="14"/>
  <c r="I49" i="14"/>
  <c r="C50" i="14"/>
  <c r="D50" i="14"/>
  <c r="F50" i="14"/>
  <c r="G50" i="14"/>
  <c r="I50" i="14"/>
  <c r="C51" i="14"/>
  <c r="D51" i="14"/>
  <c r="F51" i="14"/>
  <c r="G51" i="14"/>
  <c r="C52" i="14"/>
  <c r="D52" i="14"/>
  <c r="F52" i="14"/>
  <c r="G52" i="14"/>
  <c r="I52" i="14"/>
  <c r="D168" i="29"/>
  <c r="C168" i="29"/>
  <c r="D166" i="29"/>
  <c r="C166" i="29"/>
  <c r="D162" i="29"/>
  <c r="C162" i="29"/>
  <c r="D161" i="29"/>
  <c r="C161" i="29"/>
  <c r="F161" i="29"/>
  <c r="D160" i="29"/>
  <c r="C160" i="29"/>
  <c r="D159" i="29"/>
  <c r="C159" i="29"/>
  <c r="D158" i="29"/>
  <c r="C158" i="29"/>
  <c r="D157" i="29"/>
  <c r="C157" i="29"/>
  <c r="D152" i="29"/>
  <c r="C152" i="29"/>
  <c r="D151" i="29"/>
  <c r="C151" i="29"/>
  <c r="F151" i="29"/>
  <c r="D150" i="29"/>
  <c r="C150" i="29"/>
  <c r="D144" i="29"/>
  <c r="C144" i="29"/>
  <c r="D143" i="29"/>
  <c r="C143" i="29"/>
  <c r="F143" i="29"/>
  <c r="D139" i="29"/>
  <c r="C139" i="29"/>
  <c r="D137" i="29"/>
  <c r="C137" i="29"/>
  <c r="D135" i="29"/>
  <c r="C135" i="29"/>
  <c r="D134" i="29"/>
  <c r="C134" i="29"/>
  <c r="D130" i="29"/>
  <c r="C130" i="29"/>
  <c r="D128" i="29"/>
  <c r="C128" i="29"/>
  <c r="D127" i="29"/>
  <c r="C127" i="29"/>
  <c r="D124" i="29"/>
  <c r="C124" i="29"/>
  <c r="D123" i="29"/>
  <c r="C123" i="29"/>
  <c r="D122" i="29"/>
  <c r="C122" i="29"/>
  <c r="D121" i="29"/>
  <c r="C121" i="29"/>
  <c r="D118" i="29"/>
  <c r="C118" i="29"/>
  <c r="D115" i="29"/>
  <c r="C115" i="29"/>
  <c r="D114" i="29"/>
  <c r="C114" i="29"/>
  <c r="D111" i="29"/>
  <c r="C111" i="29"/>
  <c r="D110" i="29"/>
  <c r="C110" i="29"/>
  <c r="D109" i="29"/>
  <c r="C109" i="29"/>
  <c r="D108" i="29"/>
  <c r="C108" i="29"/>
  <c r="D107" i="29"/>
  <c r="C107" i="29"/>
  <c r="D104" i="29"/>
  <c r="C104" i="29"/>
  <c r="D103" i="29"/>
  <c r="C103" i="29"/>
  <c r="F103" i="29"/>
  <c r="D102" i="29"/>
  <c r="C102" i="29"/>
  <c r="D101" i="29"/>
  <c r="C101" i="29"/>
  <c r="D100" i="29"/>
  <c r="C100" i="29"/>
  <c r="D99" i="29"/>
  <c r="C99" i="29"/>
  <c r="D94" i="29"/>
  <c r="C94" i="29"/>
  <c r="D93" i="29"/>
  <c r="C93" i="29"/>
  <c r="F93" i="29"/>
  <c r="D91" i="29"/>
  <c r="C91" i="29"/>
  <c r="D90" i="29"/>
  <c r="C90" i="29"/>
  <c r="D89" i="29"/>
  <c r="C89" i="29"/>
  <c r="D88" i="29"/>
  <c r="C88" i="29"/>
  <c r="D87" i="29"/>
  <c r="C87" i="29"/>
  <c r="D86" i="29"/>
  <c r="C86" i="29"/>
  <c r="D85" i="29"/>
  <c r="C85" i="29"/>
  <c r="D84" i="29"/>
  <c r="C84" i="29"/>
  <c r="D83" i="29"/>
  <c r="C83" i="29"/>
  <c r="D82" i="29"/>
  <c r="C82" i="29"/>
  <c r="D81" i="29"/>
  <c r="C81" i="29"/>
  <c r="D80" i="29"/>
  <c r="C80" i="29"/>
  <c r="D79" i="29"/>
  <c r="C79" i="29"/>
  <c r="D78" i="29"/>
  <c r="C78" i="29"/>
  <c r="D76" i="29"/>
  <c r="C76" i="29"/>
  <c r="D74" i="29"/>
  <c r="C74" i="29"/>
  <c r="D70" i="29"/>
  <c r="C70" i="29"/>
  <c r="D69" i="29"/>
  <c r="C69" i="29"/>
  <c r="F69" i="29"/>
  <c r="D67" i="29"/>
  <c r="C67" i="29"/>
  <c r="F65" i="29"/>
  <c r="D64" i="29"/>
  <c r="C64" i="29"/>
  <c r="D62" i="29"/>
  <c r="C62" i="29"/>
  <c r="D59" i="29"/>
  <c r="C59" i="29"/>
  <c r="D58" i="29"/>
  <c r="C58" i="29"/>
  <c r="D55" i="29"/>
  <c r="C55" i="29"/>
  <c r="D54" i="29"/>
  <c r="C54" i="29"/>
  <c r="D50" i="29"/>
  <c r="C50" i="29"/>
  <c r="D49" i="29"/>
  <c r="C49" i="29"/>
  <c r="D48" i="29"/>
  <c r="C48" i="29"/>
  <c r="D46" i="29"/>
  <c r="C46" i="29"/>
  <c r="D45" i="29"/>
  <c r="C45" i="29"/>
  <c r="D42" i="29"/>
  <c r="C42" i="29"/>
  <c r="D41" i="29"/>
  <c r="C41" i="29"/>
  <c r="D37" i="29"/>
  <c r="C37" i="29"/>
  <c r="D36" i="29"/>
  <c r="C36" i="29"/>
  <c r="D34" i="29"/>
  <c r="C34" i="29"/>
  <c r="D31" i="29"/>
  <c r="C31" i="29"/>
  <c r="D30" i="29"/>
  <c r="C30" i="29"/>
  <c r="D29" i="29"/>
  <c r="C29" i="29"/>
  <c r="D28" i="29"/>
  <c r="C28" i="29"/>
  <c r="D27" i="29"/>
  <c r="C27" i="29"/>
  <c r="D26" i="29"/>
  <c r="C26" i="29"/>
  <c r="D25" i="29"/>
  <c r="C25" i="29"/>
  <c r="D23" i="29"/>
  <c r="C23" i="29"/>
  <c r="F23" i="29"/>
  <c r="D22" i="29"/>
  <c r="C22" i="29"/>
  <c r="D21" i="29"/>
  <c r="C21" i="29"/>
  <c r="D20" i="29"/>
  <c r="C20" i="29"/>
  <c r="D19" i="29"/>
  <c r="C19" i="29"/>
  <c r="F19" i="29"/>
  <c r="D18" i="29"/>
  <c r="C18" i="29"/>
  <c r="D17" i="29"/>
  <c r="C17" i="29"/>
  <c r="D16" i="29"/>
  <c r="C16" i="29"/>
  <c r="D12" i="29"/>
  <c r="C12" i="29"/>
  <c r="D11" i="29"/>
  <c r="C11" i="29"/>
  <c r="D10" i="29"/>
  <c r="C10" i="29"/>
  <c r="D7" i="29"/>
  <c r="C7" i="29"/>
  <c r="F7" i="29"/>
  <c r="F14" i="10"/>
  <c r="F3" i="10"/>
  <c r="F4" i="10"/>
  <c r="F8" i="10"/>
  <c r="F9" i="10"/>
  <c r="F11" i="10"/>
  <c r="F12" i="10"/>
  <c r="F13" i="10"/>
  <c r="F16" i="10"/>
  <c r="F17" i="10"/>
  <c r="C7" i="28"/>
  <c r="D7" i="28"/>
  <c r="F7" i="28"/>
  <c r="C10" i="28"/>
  <c r="D10" i="28"/>
  <c r="F10" i="28"/>
  <c r="C11" i="28"/>
  <c r="D11" i="28"/>
  <c r="C12" i="28"/>
  <c r="D12" i="28"/>
  <c r="F12" i="28"/>
  <c r="C15" i="28"/>
  <c r="D15" i="28"/>
  <c r="F15" i="28"/>
  <c r="C16" i="28"/>
  <c r="D16" i="28"/>
  <c r="F16" i="28"/>
  <c r="C17" i="28"/>
  <c r="D17" i="28"/>
  <c r="F17" i="28"/>
  <c r="C18" i="28"/>
  <c r="D18" i="28"/>
  <c r="F18" i="28"/>
  <c r="C19" i="28"/>
  <c r="D19" i="28"/>
  <c r="F19" i="28"/>
  <c r="C20" i="28"/>
  <c r="D20" i="28"/>
  <c r="F20" i="28"/>
  <c r="C21" i="28"/>
  <c r="D21" i="28"/>
  <c r="F21" i="28"/>
  <c r="C22" i="28"/>
  <c r="D22" i="28"/>
  <c r="F22" i="28"/>
  <c r="C23" i="28"/>
  <c r="D23" i="28"/>
  <c r="F23" i="28"/>
  <c r="C24" i="28"/>
  <c r="D24" i="28"/>
  <c r="F24" i="28"/>
  <c r="C25" i="28"/>
  <c r="D25" i="28"/>
  <c r="F25" i="28"/>
  <c r="C26" i="28"/>
  <c r="D26" i="28"/>
  <c r="F26" i="28"/>
  <c r="C27" i="28"/>
  <c r="D27" i="28"/>
  <c r="F27" i="28"/>
  <c r="C28" i="28"/>
  <c r="D28" i="28"/>
  <c r="F28" i="28"/>
  <c r="C29" i="28"/>
  <c r="D29" i="28"/>
  <c r="C30" i="28"/>
  <c r="D30" i="28"/>
  <c r="F30" i="28"/>
  <c r="C31" i="28"/>
  <c r="D31" i="28"/>
  <c r="F31" i="28"/>
  <c r="C34" i="28"/>
  <c r="D34" i="28"/>
  <c r="F34" i="28"/>
  <c r="C35" i="28"/>
  <c r="D35" i="28"/>
  <c r="F35" i="28"/>
  <c r="C36" i="28"/>
  <c r="D36" i="28"/>
  <c r="F36" i="28"/>
  <c r="C37" i="28"/>
  <c r="D37" i="28"/>
  <c r="F37" i="28"/>
  <c r="C38" i="28"/>
  <c r="D38" i="28"/>
  <c r="F38" i="28"/>
  <c r="C41" i="28"/>
  <c r="D41" i="28"/>
  <c r="C42" i="28"/>
  <c r="D42" i="28"/>
  <c r="F42" i="28"/>
  <c r="C45" i="28"/>
  <c r="D45" i="28"/>
  <c r="F45" i="28"/>
  <c r="C46" i="28"/>
  <c r="D46" i="28"/>
  <c r="F46" i="28"/>
  <c r="C47" i="28"/>
  <c r="D47" i="28"/>
  <c r="F47" i="28"/>
  <c r="C48" i="28"/>
  <c r="D48" i="28"/>
  <c r="F48" i="28"/>
  <c r="C49" i="28"/>
  <c r="D49" i="28"/>
  <c r="F49" i="28"/>
  <c r="C50" i="28"/>
  <c r="D50" i="28"/>
  <c r="F50" i="28"/>
  <c r="C51" i="28"/>
  <c r="D51" i="28"/>
  <c r="C54" i="28"/>
  <c r="D54" i="28"/>
  <c r="F54" i="28"/>
  <c r="C55" i="28"/>
  <c r="D55" i="28"/>
  <c r="F55" i="28"/>
  <c r="C58" i="28"/>
  <c r="D58" i="28"/>
  <c r="F58" i="28"/>
  <c r="C59" i="28"/>
  <c r="D59" i="28"/>
  <c r="F59" i="28"/>
  <c r="C60" i="28"/>
  <c r="D60" i="28"/>
  <c r="F60" i="28"/>
  <c r="C61" i="28"/>
  <c r="D61" i="28"/>
  <c r="F61" i="28"/>
  <c r="C62" i="28"/>
  <c r="D62" i="28"/>
  <c r="F62" i="28"/>
  <c r="C63" i="28"/>
  <c r="D63" i="28"/>
  <c r="C64" i="28"/>
  <c r="D64" i="28"/>
  <c r="F64" i="28"/>
  <c r="C65" i="28"/>
  <c r="D65" i="28"/>
  <c r="F65" i="28"/>
  <c r="C66" i="28"/>
  <c r="D66" i="28"/>
  <c r="F66" i="28"/>
  <c r="C67" i="28"/>
  <c r="D67" i="28"/>
  <c r="F67" i="28"/>
  <c r="C68" i="28"/>
  <c r="D68" i="28"/>
  <c r="F68" i="28"/>
  <c r="C69" i="28"/>
  <c r="D69" i="28"/>
  <c r="C70" i="28"/>
  <c r="D70" i="28"/>
  <c r="F70" i="28"/>
  <c r="C71" i="28"/>
  <c r="D71" i="28"/>
  <c r="C72" i="28"/>
  <c r="D72" i="28"/>
  <c r="C73" i="28"/>
  <c r="D73" i="28"/>
  <c r="F73" i="28"/>
  <c r="C74" i="28"/>
  <c r="D74" i="28"/>
  <c r="F74" i="28"/>
  <c r="C75" i="28"/>
  <c r="D75" i="28"/>
  <c r="F75" i="28"/>
  <c r="C76" i="28"/>
  <c r="D76" i="28"/>
  <c r="F76" i="28"/>
  <c r="C77" i="28"/>
  <c r="D77" i="28"/>
  <c r="F77" i="28"/>
  <c r="C78" i="28"/>
  <c r="D78" i="28"/>
  <c r="F78" i="28"/>
  <c r="C79" i="28"/>
  <c r="D79" i="28"/>
  <c r="C80" i="28"/>
  <c r="D80" i="28"/>
  <c r="F80" i="28"/>
  <c r="C81" i="28"/>
  <c r="D81" i="28"/>
  <c r="F81" i="28"/>
  <c r="C82" i="28"/>
  <c r="D82" i="28"/>
  <c r="F82" i="28"/>
  <c r="C83" i="28"/>
  <c r="D83" i="28"/>
  <c r="F83" i="28"/>
  <c r="C84" i="28"/>
  <c r="D84" i="28"/>
  <c r="F84" i="28"/>
  <c r="C85" i="28"/>
  <c r="D85" i="28"/>
  <c r="F85" i="28"/>
  <c r="C86" i="28"/>
  <c r="D86" i="28"/>
  <c r="F86" i="28"/>
  <c r="C87" i="28"/>
  <c r="D87" i="28"/>
  <c r="C88" i="28"/>
  <c r="D88" i="28"/>
  <c r="F88" i="28"/>
  <c r="C89" i="28"/>
  <c r="D89" i="28"/>
  <c r="F89" i="28"/>
  <c r="C90" i="28"/>
  <c r="D90" i="28"/>
  <c r="F90" i="28"/>
  <c r="C91" i="28"/>
  <c r="D91" i="28"/>
  <c r="F91" i="28"/>
  <c r="C92" i="28"/>
  <c r="D92" i="28"/>
  <c r="F92" i="28"/>
  <c r="C93" i="28"/>
  <c r="D93" i="28"/>
  <c r="F93" i="28"/>
  <c r="C94" i="28"/>
  <c r="D94" i="28"/>
  <c r="F94" i="28"/>
  <c r="C95" i="28"/>
  <c r="D95" i="28"/>
  <c r="C96" i="28"/>
  <c r="D96" i="28"/>
  <c r="F96" i="28"/>
  <c r="C99" i="28"/>
  <c r="D99" i="28"/>
  <c r="F99" i="28"/>
  <c r="C100" i="28"/>
  <c r="D100" i="28"/>
  <c r="F100" i="28"/>
  <c r="C101" i="28"/>
  <c r="D101" i="28"/>
  <c r="F101" i="28"/>
  <c r="C102" i="28"/>
  <c r="D102" i="28"/>
  <c r="F102" i="28"/>
  <c r="C103" i="28"/>
  <c r="D103" i="28"/>
  <c r="F103" i="28"/>
  <c r="C104" i="28"/>
  <c r="D104" i="28"/>
  <c r="F104" i="28"/>
  <c r="C105" i="28"/>
  <c r="D105" i="28"/>
  <c r="C106" i="28"/>
  <c r="D106" i="28"/>
  <c r="F106" i="28"/>
  <c r="C107" i="28"/>
  <c r="D107" i="28"/>
  <c r="F107" i="28"/>
  <c r="C108" i="28"/>
  <c r="D108" i="28"/>
  <c r="F108" i="28"/>
  <c r="C109" i="28"/>
  <c r="D109" i="28"/>
  <c r="F109" i="28"/>
  <c r="C110" i="28"/>
  <c r="D110" i="28"/>
  <c r="F110" i="28"/>
  <c r="C111" i="28"/>
  <c r="D111" i="28"/>
  <c r="F111" i="28"/>
  <c r="C114" i="28"/>
  <c r="D114" i="28"/>
  <c r="F114" i="28"/>
  <c r="C115" i="28"/>
  <c r="D115" i="28"/>
  <c r="C118" i="28"/>
  <c r="D118" i="28"/>
  <c r="F118" i="28"/>
  <c r="C121" i="28"/>
  <c r="D121" i="28"/>
  <c r="F121" i="28"/>
  <c r="C122" i="28"/>
  <c r="D122" i="28"/>
  <c r="F122" i="28"/>
  <c r="C123" i="28"/>
  <c r="D123" i="28"/>
  <c r="F123" i="28"/>
  <c r="C124" i="28"/>
  <c r="D124" i="28"/>
  <c r="F124" i="28"/>
  <c r="C127" i="28"/>
  <c r="D127" i="28"/>
  <c r="F127" i="28"/>
  <c r="C128" i="28"/>
  <c r="D128" i="28"/>
  <c r="F128" i="28"/>
  <c r="C129" i="28"/>
  <c r="D129" i="28"/>
  <c r="C130" i="28"/>
  <c r="D130" i="28"/>
  <c r="F130" i="28"/>
  <c r="C131" i="28"/>
  <c r="D131" i="28"/>
  <c r="F131" i="28"/>
  <c r="C134" i="28"/>
  <c r="D134" i="28"/>
  <c r="F134" i="28"/>
  <c r="C135" i="28"/>
  <c r="D135" i="28"/>
  <c r="F135" i="28"/>
  <c r="C136" i="28"/>
  <c r="D136" i="28"/>
  <c r="F136" i="28"/>
  <c r="C137" i="28"/>
  <c r="D137" i="28"/>
  <c r="F137" i="28"/>
  <c r="C138" i="28"/>
  <c r="D138" i="28"/>
  <c r="C139" i="28"/>
  <c r="D139" i="28"/>
  <c r="F139" i="28"/>
  <c r="C140" i="28"/>
  <c r="D140" i="28"/>
  <c r="F140" i="28"/>
  <c r="C141" i="28"/>
  <c r="D141" i="28"/>
  <c r="F141" i="28"/>
  <c r="C142" i="28"/>
  <c r="D142" i="28"/>
  <c r="F142" i="28"/>
  <c r="C143" i="28"/>
  <c r="D143" i="28"/>
  <c r="F143" i="28"/>
  <c r="C144" i="28"/>
  <c r="D144" i="28"/>
  <c r="F144" i="28"/>
  <c r="C145" i="28"/>
  <c r="D145" i="28"/>
  <c r="F145" i="28"/>
  <c r="C146" i="28"/>
  <c r="D146" i="28"/>
  <c r="C147" i="28"/>
  <c r="D147" i="28"/>
  <c r="C148" i="28"/>
  <c r="D148" i="28"/>
  <c r="F148" i="28"/>
  <c r="C149" i="28"/>
  <c r="D149" i="28"/>
  <c r="F149" i="28"/>
  <c r="C150" i="28"/>
  <c r="D150" i="28"/>
  <c r="F150" i="28"/>
  <c r="C151" i="28"/>
  <c r="D151" i="28"/>
  <c r="F151" i="28"/>
  <c r="C152" i="28"/>
  <c r="D152" i="28"/>
  <c r="F152" i="28"/>
  <c r="C153" i="28"/>
  <c r="D153" i="28"/>
  <c r="F153" i="28"/>
  <c r="C154" i="28"/>
  <c r="D154" i="28"/>
  <c r="C157" i="28"/>
  <c r="D157" i="28"/>
  <c r="F157" i="28"/>
  <c r="C158" i="28"/>
  <c r="D158" i="28"/>
  <c r="F158" i="28"/>
  <c r="C159" i="28"/>
  <c r="D159" i="28"/>
  <c r="F159" i="28"/>
  <c r="C160" i="28"/>
  <c r="D160" i="28"/>
  <c r="F160" i="28"/>
  <c r="C161" i="28"/>
  <c r="D161" i="28"/>
  <c r="F161" i="28"/>
  <c r="C162" i="28"/>
  <c r="D162" i="28"/>
  <c r="F162" i="28"/>
  <c r="C165" i="28"/>
  <c r="D165" i="28"/>
  <c r="F165" i="28"/>
  <c r="C166" i="28"/>
  <c r="D166" i="28"/>
  <c r="F166" i="28"/>
  <c r="C167" i="28"/>
  <c r="D167" i="28"/>
  <c r="C168" i="28"/>
  <c r="D168" i="28"/>
  <c r="F168" i="28"/>
  <c r="E5" i="26"/>
  <c r="E6" i="26"/>
  <c r="E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39" i="26"/>
  <c r="E40" i="26"/>
  <c r="E41" i="26"/>
  <c r="E42" i="26"/>
  <c r="E43" i="26"/>
  <c r="E44" i="26"/>
  <c r="E45" i="26"/>
  <c r="E46" i="26"/>
  <c r="E47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60" i="26"/>
  <c r="E61" i="26"/>
  <c r="E62" i="26"/>
  <c r="E63" i="26"/>
  <c r="E64" i="26"/>
  <c r="E65" i="26"/>
  <c r="E66" i="26"/>
  <c r="E67" i="26"/>
  <c r="E68" i="26"/>
  <c r="E69" i="26"/>
  <c r="E70" i="26"/>
  <c r="E71" i="26"/>
  <c r="E72" i="26"/>
  <c r="E73" i="26"/>
  <c r="E74" i="26"/>
  <c r="E75" i="26"/>
  <c r="E76" i="26"/>
  <c r="E77" i="26"/>
  <c r="E78" i="26"/>
  <c r="E79" i="26"/>
  <c r="E80" i="26"/>
  <c r="E81" i="26"/>
  <c r="E82" i="26"/>
  <c r="E83" i="26"/>
  <c r="E84" i="26"/>
  <c r="E85" i="26"/>
  <c r="E86" i="26"/>
  <c r="E87" i="26"/>
  <c r="E88" i="26"/>
  <c r="E89" i="26"/>
  <c r="E90" i="26"/>
  <c r="E91" i="26"/>
  <c r="E92" i="26"/>
  <c r="E93" i="26"/>
  <c r="E94" i="26"/>
  <c r="E95" i="26"/>
  <c r="E96" i="26"/>
  <c r="E97" i="26"/>
  <c r="E98" i="26"/>
  <c r="E99" i="26"/>
  <c r="E100" i="26"/>
  <c r="E101" i="26"/>
  <c r="E102" i="26"/>
  <c r="E103" i="26"/>
  <c r="E104" i="26"/>
  <c r="E105" i="26"/>
  <c r="E106" i="26"/>
  <c r="E107" i="26"/>
  <c r="E108" i="26"/>
  <c r="E109" i="26"/>
  <c r="E110" i="26"/>
  <c r="E111" i="26"/>
  <c r="E112" i="26"/>
  <c r="E113" i="26"/>
  <c r="E114" i="26"/>
  <c r="E115" i="26"/>
  <c r="E116" i="26"/>
  <c r="E117" i="26"/>
  <c r="E118" i="26"/>
  <c r="E119" i="26"/>
  <c r="E120" i="26"/>
  <c r="E121" i="26"/>
  <c r="E122" i="26"/>
  <c r="E123" i="26"/>
  <c r="E124" i="26"/>
  <c r="E125" i="26"/>
  <c r="E126" i="26"/>
  <c r="E127" i="26"/>
  <c r="E128" i="26"/>
  <c r="E129" i="26"/>
  <c r="E130" i="26"/>
  <c r="E131" i="26"/>
  <c r="E132" i="26"/>
  <c r="E133" i="26"/>
  <c r="E134" i="26"/>
  <c r="E135" i="26"/>
  <c r="E136" i="26"/>
  <c r="F3" i="13"/>
  <c r="F4" i="13"/>
  <c r="F5" i="13"/>
  <c r="F6" i="13"/>
  <c r="F7" i="13"/>
  <c r="F8" i="13"/>
  <c r="F9" i="13"/>
  <c r="F10" i="13"/>
  <c r="F11" i="13"/>
  <c r="F12" i="13"/>
  <c r="F13" i="13"/>
  <c r="F14" i="13"/>
  <c r="F15" i="13"/>
  <c r="F3" i="12"/>
  <c r="F5" i="12"/>
  <c r="F6" i="12"/>
  <c r="F8" i="12"/>
  <c r="F10" i="12"/>
  <c r="F11" i="12"/>
  <c r="F12" i="12"/>
  <c r="F13" i="12"/>
  <c r="F15" i="12"/>
  <c r="F16" i="12"/>
  <c r="F4" i="12"/>
  <c r="F7" i="12"/>
  <c r="F9" i="12"/>
  <c r="F14" i="12"/>
  <c r="F27" i="12"/>
  <c r="F29" i="12"/>
  <c r="E12" i="1"/>
  <c r="J15" i="14"/>
  <c r="F3" i="11"/>
  <c r="F4" i="11"/>
  <c r="F6" i="11"/>
  <c r="F8" i="11"/>
  <c r="F12" i="11"/>
  <c r="F13" i="11"/>
  <c r="F5" i="11"/>
  <c r="F7" i="11"/>
  <c r="F9" i="11"/>
  <c r="F10" i="11"/>
  <c r="F11" i="11"/>
  <c r="F14" i="11"/>
  <c r="F15" i="11"/>
  <c r="F20" i="11"/>
  <c r="F21" i="11"/>
  <c r="F22" i="11"/>
  <c r="F23" i="11"/>
  <c r="F25" i="11"/>
  <c r="E13" i="1"/>
  <c r="J16" i="14"/>
  <c r="G4" i="18"/>
  <c r="G5" i="18"/>
  <c r="G8" i="18"/>
  <c r="G9" i="18"/>
  <c r="G12" i="18"/>
  <c r="G16" i="18"/>
  <c r="G18" i="18"/>
  <c r="G19" i="18"/>
  <c r="G20" i="18"/>
  <c r="G21" i="18"/>
  <c r="G24" i="18"/>
  <c r="B9" i="9"/>
  <c r="B10" i="9"/>
  <c r="B11" i="9"/>
  <c r="J18" i="14"/>
  <c r="E15" i="9"/>
  <c r="E16" i="9"/>
  <c r="E17" i="9"/>
  <c r="E18" i="9"/>
  <c r="E19" i="9"/>
  <c r="E20" i="9"/>
  <c r="E21" i="9"/>
  <c r="E22" i="9"/>
  <c r="E23" i="9"/>
  <c r="E24" i="9"/>
  <c r="G7" i="25"/>
  <c r="G8" i="25"/>
  <c r="G10" i="25"/>
  <c r="G11" i="25"/>
  <c r="G13" i="25"/>
  <c r="G15" i="25"/>
  <c r="G16" i="25"/>
  <c r="G17" i="25"/>
  <c r="G19" i="25"/>
  <c r="G20" i="25"/>
  <c r="G23" i="25"/>
  <c r="G30" i="24"/>
  <c r="G9" i="24"/>
  <c r="G10" i="24"/>
  <c r="G12" i="24"/>
  <c r="G15" i="24"/>
  <c r="G18" i="24"/>
  <c r="G21" i="24"/>
  <c r="G22" i="24"/>
  <c r="G23" i="24"/>
  <c r="G25" i="24"/>
  <c r="G6" i="17"/>
  <c r="G8" i="17"/>
  <c r="G11" i="17"/>
  <c r="G13" i="17"/>
  <c r="G14" i="17"/>
  <c r="G15" i="17"/>
  <c r="G16" i="17"/>
  <c r="G17" i="17"/>
  <c r="G18" i="17"/>
  <c r="G19" i="17"/>
  <c r="G20" i="17"/>
  <c r="G21" i="17"/>
  <c r="G24" i="17"/>
  <c r="G30" i="7"/>
  <c r="G11" i="7"/>
  <c r="G13" i="7"/>
  <c r="G14" i="7"/>
  <c r="G17" i="7"/>
  <c r="G19" i="7"/>
  <c r="G21" i="7"/>
  <c r="G22" i="7"/>
  <c r="G23" i="7"/>
  <c r="G25" i="7"/>
  <c r="G6" i="16"/>
  <c r="G9" i="16"/>
  <c r="G10" i="16"/>
  <c r="G12" i="16"/>
  <c r="G15" i="16"/>
  <c r="G16" i="16"/>
  <c r="G17" i="16"/>
  <c r="G18" i="16"/>
  <c r="G19" i="16"/>
  <c r="G21" i="16"/>
  <c r="G22" i="16"/>
  <c r="G23" i="16"/>
  <c r="G6" i="19"/>
  <c r="G7" i="19"/>
  <c r="G9" i="19"/>
  <c r="G11" i="19"/>
  <c r="G12" i="19"/>
  <c r="G13" i="19"/>
  <c r="G14" i="19"/>
  <c r="G16" i="19"/>
  <c r="G18" i="19"/>
  <c r="G20" i="19"/>
  <c r="G23" i="19"/>
  <c r="G30" i="19"/>
  <c r="G30" i="23"/>
  <c r="G7" i="23"/>
  <c r="G8" i="23"/>
  <c r="G10" i="23"/>
  <c r="G12" i="23"/>
  <c r="G13" i="23"/>
  <c r="G14" i="23"/>
  <c r="G18" i="23"/>
  <c r="G19" i="23"/>
  <c r="G21" i="23"/>
  <c r="G5" i="6"/>
  <c r="G6" i="6"/>
  <c r="G7" i="6"/>
  <c r="G8" i="6"/>
  <c r="G9" i="6"/>
  <c r="G11" i="6"/>
  <c r="G13" i="6"/>
  <c r="G15" i="6"/>
  <c r="G17" i="6"/>
  <c r="G18" i="6"/>
  <c r="G19" i="6"/>
  <c r="G20" i="6"/>
  <c r="G21" i="6"/>
  <c r="G24" i="6"/>
  <c r="G25" i="6"/>
  <c r="G7" i="20"/>
  <c r="G8" i="20"/>
  <c r="G9" i="20"/>
  <c r="G11" i="20"/>
  <c r="G12" i="20"/>
  <c r="G14" i="20"/>
  <c r="G15" i="20"/>
  <c r="G16" i="20"/>
  <c r="G17" i="20"/>
  <c r="G20" i="20"/>
  <c r="G21" i="20"/>
  <c r="G22" i="20"/>
  <c r="G23" i="20"/>
  <c r="G24" i="20"/>
  <c r="G25" i="20"/>
  <c r="G6" i="22"/>
  <c r="G8" i="22"/>
  <c r="G9" i="22"/>
  <c r="G10" i="22"/>
  <c r="G11" i="22"/>
  <c r="G12" i="22"/>
  <c r="G16" i="22"/>
  <c r="G18" i="22"/>
  <c r="G19" i="22"/>
  <c r="G21" i="22"/>
  <c r="G22" i="22"/>
  <c r="G23" i="22"/>
  <c r="G24" i="22"/>
  <c r="G25" i="22"/>
  <c r="G30" i="22"/>
  <c r="G30" i="5"/>
  <c r="G30" i="21"/>
  <c r="G30" i="20"/>
  <c r="G30" i="16"/>
  <c r="G30" i="17"/>
  <c r="G30" i="25"/>
  <c r="D31" i="9"/>
  <c r="E18" i="1"/>
  <c r="J20" i="14"/>
  <c r="G7" i="5"/>
  <c r="G8" i="5"/>
  <c r="G10" i="5"/>
  <c r="G11" i="5"/>
  <c r="G12" i="5"/>
  <c r="G13" i="5"/>
  <c r="G14" i="5"/>
  <c r="G15" i="5"/>
  <c r="G16" i="5"/>
  <c r="G17" i="5"/>
  <c r="G19" i="5"/>
  <c r="G20" i="5"/>
  <c r="G21" i="5"/>
  <c r="G22" i="5"/>
  <c r="G23" i="5"/>
  <c r="G25" i="5"/>
  <c r="G6" i="21"/>
  <c r="G7" i="21"/>
  <c r="G9" i="21"/>
  <c r="G10" i="21"/>
  <c r="G11" i="21"/>
  <c r="G12" i="21"/>
  <c r="G14" i="21"/>
  <c r="G15" i="21"/>
  <c r="G17" i="21"/>
  <c r="G18" i="21"/>
  <c r="G20" i="21"/>
  <c r="G21" i="21"/>
  <c r="G23" i="21"/>
  <c r="G24" i="21"/>
  <c r="F20" i="10"/>
  <c r="E11" i="1"/>
  <c r="J14" i="14"/>
  <c r="E7" i="1"/>
  <c r="J10" i="14"/>
  <c r="E9" i="1"/>
  <c r="J12" i="14"/>
  <c r="E10" i="1"/>
  <c r="J13" i="14"/>
  <c r="J19" i="14"/>
  <c r="E19" i="1"/>
  <c r="J21" i="14"/>
  <c r="E20" i="1"/>
  <c r="J22" i="14"/>
  <c r="E21" i="1"/>
  <c r="J23" i="14"/>
  <c r="E22" i="1"/>
  <c r="J24" i="14"/>
  <c r="E23" i="1"/>
  <c r="J25" i="14"/>
  <c r="E24" i="1"/>
  <c r="J26" i="14"/>
  <c r="E25" i="1"/>
  <c r="J27" i="14"/>
  <c r="E26" i="1"/>
  <c r="J28" i="14"/>
  <c r="E27" i="1"/>
  <c r="J29" i="14"/>
  <c r="E28" i="1"/>
  <c r="E29" i="1"/>
  <c r="E30" i="1"/>
  <c r="E31" i="1"/>
  <c r="E42" i="1"/>
  <c r="J41" i="14"/>
  <c r="E43" i="1"/>
  <c r="E44" i="1"/>
  <c r="E45" i="1"/>
  <c r="E46" i="1"/>
  <c r="C56" i="1"/>
  <c r="E56" i="1"/>
  <c r="C57" i="1"/>
  <c r="E57" i="1"/>
  <c r="C58" i="1"/>
  <c r="E58" i="1"/>
  <c r="C59" i="1"/>
  <c r="E59" i="1"/>
  <c r="E60" i="1"/>
  <c r="E61" i="1"/>
  <c r="E62" i="1"/>
  <c r="D63" i="1"/>
  <c r="I54" i="14"/>
  <c r="F154" i="28"/>
  <c r="F138" i="28"/>
  <c r="G14" i="22"/>
  <c r="G25" i="23"/>
  <c r="G12" i="7"/>
  <c r="G6" i="18"/>
  <c r="G25" i="19"/>
  <c r="G7" i="16"/>
  <c r="G20" i="7"/>
  <c r="G11" i="18"/>
  <c r="F146" i="28"/>
  <c r="G17" i="23"/>
  <c r="G17" i="19"/>
  <c r="G19" i="24"/>
  <c r="G11" i="24"/>
  <c r="F167" i="28"/>
  <c r="F147" i="28"/>
  <c r="F129" i="28"/>
  <c r="F115" i="28"/>
  <c r="F105" i="28"/>
  <c r="F95" i="28"/>
  <c r="F87" i="28"/>
  <c r="F79" i="28"/>
  <c r="F71" i="28"/>
  <c r="F63" i="28"/>
  <c r="F51" i="28"/>
  <c r="F41" i="28"/>
  <c r="F29" i="28"/>
  <c r="F11" i="28"/>
  <c r="G21" i="19"/>
  <c r="G8" i="19"/>
  <c r="G24" i="16"/>
  <c r="G16" i="7"/>
  <c r="G8" i="7"/>
  <c r="G22" i="25"/>
  <c r="G14" i="25"/>
  <c r="G6" i="25"/>
  <c r="G23" i="18"/>
  <c r="G15" i="18"/>
  <c r="G8" i="16"/>
  <c r="G11" i="23"/>
  <c r="G22" i="21"/>
  <c r="G16" i="21"/>
  <c r="G20" i="22"/>
  <c r="G18" i="20"/>
  <c r="G18" i="7"/>
  <c r="E29" i="9"/>
  <c r="G13" i="18"/>
  <c r="G7" i="22"/>
  <c r="G19" i="19"/>
  <c r="G25" i="17"/>
  <c r="G22" i="17"/>
  <c r="G13" i="24"/>
  <c r="G6" i="24"/>
  <c r="G23" i="6"/>
  <c r="G22" i="19"/>
  <c r="G10" i="7"/>
  <c r="G22" i="18"/>
  <c r="G7" i="7"/>
  <c r="G25" i="16"/>
  <c r="G19" i="20"/>
  <c r="G22" i="6"/>
  <c r="G20" i="23"/>
  <c r="G8" i="24"/>
  <c r="G9" i="25"/>
  <c r="G13" i="22"/>
  <c r="G14" i="6"/>
  <c r="G12" i="25"/>
  <c r="G9" i="5"/>
  <c r="G10" i="20"/>
  <c r="G30" i="6"/>
  <c r="G27" i="25"/>
  <c r="G10" i="18"/>
  <c r="G24" i="5"/>
  <c r="G22" i="23"/>
  <c r="G11" i="16"/>
  <c r="G14" i="16"/>
  <c r="G10" i="17"/>
  <c r="G21" i="25"/>
  <c r="G24" i="23"/>
  <c r="G24" i="19"/>
  <c r="G13" i="16"/>
  <c r="G6" i="7"/>
  <c r="G27" i="7"/>
  <c r="G17" i="24"/>
  <c r="G24" i="25"/>
  <c r="F71" i="29"/>
  <c r="F158" i="29"/>
  <c r="F162" i="29"/>
  <c r="G6" i="23"/>
  <c r="F64" i="29"/>
  <c r="G27" i="22"/>
  <c r="G27" i="21"/>
  <c r="G27" i="23"/>
  <c r="F17" i="13"/>
  <c r="E8" i="1"/>
  <c r="J11" i="14"/>
  <c r="G16" i="23"/>
  <c r="G26" i="18"/>
  <c r="G16" i="6"/>
  <c r="G27" i="20"/>
  <c r="G19" i="21"/>
  <c r="G8" i="21"/>
  <c r="G6" i="5"/>
  <c r="G17" i="22"/>
  <c r="G6" i="20"/>
  <c r="G12" i="6"/>
  <c r="G25" i="21"/>
  <c r="G13" i="21"/>
  <c r="G18" i="5"/>
  <c r="G15" i="22"/>
  <c r="G13" i="20"/>
  <c r="G10" i="6"/>
  <c r="G10" i="19"/>
  <c r="G24" i="7"/>
  <c r="G9" i="17"/>
  <c r="G24" i="24"/>
  <c r="G25" i="25"/>
  <c r="G18" i="25"/>
  <c r="G7" i="18"/>
  <c r="F69" i="28"/>
  <c r="G15" i="23"/>
  <c r="G9" i="23"/>
  <c r="G20" i="16"/>
  <c r="G9" i="7"/>
  <c r="G12" i="17"/>
  <c r="G7" i="17"/>
  <c r="G7" i="24"/>
  <c r="G14" i="18"/>
  <c r="F72" i="28"/>
  <c r="G23" i="23"/>
  <c r="G15" i="19"/>
  <c r="G15" i="7"/>
  <c r="G23" i="17"/>
  <c r="G20" i="24"/>
  <c r="G16" i="24"/>
  <c r="G14" i="24"/>
  <c r="G17" i="18"/>
  <c r="G27" i="24"/>
  <c r="G27" i="19"/>
  <c r="G27" i="17"/>
  <c r="G27" i="6"/>
  <c r="G27" i="16"/>
  <c r="G27" i="5"/>
  <c r="F157" i="29"/>
  <c r="F144" i="29"/>
  <c r="F26" i="29"/>
  <c r="F118" i="29"/>
  <c r="F94" i="29"/>
  <c r="F104" i="29"/>
  <c r="F108" i="29"/>
  <c r="F114" i="29"/>
  <c r="F166" i="29"/>
  <c r="F17" i="29"/>
  <c r="F21" i="29"/>
  <c r="F25" i="29"/>
  <c r="F35" i="29"/>
  <c r="F41" i="29"/>
  <c r="F67" i="29"/>
  <c r="F79" i="29"/>
  <c r="F83" i="29"/>
  <c r="F87" i="29"/>
  <c r="F91" i="29"/>
  <c r="F101" i="29"/>
  <c r="F109" i="29"/>
  <c r="F135" i="29"/>
  <c r="F139" i="29"/>
  <c r="F152" i="29"/>
  <c r="F168" i="29"/>
  <c r="F30" i="29"/>
  <c r="F36" i="29"/>
  <c r="F42" i="29"/>
  <c r="F48" i="29"/>
  <c r="F54" i="29"/>
  <c r="F60" i="29"/>
  <c r="F124" i="29"/>
  <c r="F142" i="29"/>
  <c r="F159" i="29"/>
  <c r="F27" i="29"/>
  <c r="F31" i="29"/>
  <c r="F37" i="29"/>
  <c r="F45" i="29"/>
  <c r="F61" i="29"/>
  <c r="F107" i="29"/>
  <c r="F111" i="29"/>
  <c r="F10" i="29"/>
  <c r="F90" i="29"/>
  <c r="F165" i="29"/>
  <c r="F68" i="29"/>
  <c r="F76" i="29"/>
  <c r="F80" i="29"/>
  <c r="F110" i="29"/>
  <c r="F130" i="29"/>
  <c r="F136" i="29"/>
  <c r="F100" i="29"/>
  <c r="F148" i="29"/>
  <c r="G4" i="22"/>
  <c r="F146" i="29"/>
  <c r="F95" i="29"/>
  <c r="F28" i="29"/>
  <c r="F34" i="29"/>
  <c r="F38" i="29"/>
  <c r="F46" i="29"/>
  <c r="F50" i="29"/>
  <c r="F58" i="29"/>
  <c r="F62" i="29"/>
  <c r="F77" i="29"/>
  <c r="F85" i="29"/>
  <c r="F89" i="29"/>
  <c r="F99" i="29"/>
  <c r="F29" i="29"/>
  <c r="F59" i="29"/>
  <c r="F70" i="29"/>
  <c r="F82" i="29"/>
  <c r="F86" i="29"/>
  <c r="F128" i="29"/>
  <c r="F18" i="29"/>
  <c r="F22" i="29"/>
  <c r="F134" i="29"/>
  <c r="F121" i="29"/>
  <c r="F150" i="29"/>
  <c r="F160" i="29"/>
  <c r="F137" i="29"/>
  <c r="F115" i="29"/>
  <c r="F123" i="29"/>
  <c r="F84" i="29"/>
  <c r="F102" i="29"/>
  <c r="F16" i="29"/>
  <c r="F20" i="29"/>
  <c r="F88" i="29"/>
  <c r="F92" i="29"/>
  <c r="F11" i="29"/>
  <c r="F141" i="29"/>
  <c r="F12" i="29"/>
  <c r="F81" i="29"/>
  <c r="F78" i="29"/>
  <c r="F149" i="29"/>
  <c r="F49" i="29"/>
  <c r="F55" i="29"/>
  <c r="F127" i="29"/>
  <c r="F122" i="29"/>
  <c r="G4" i="20"/>
  <c r="G4" i="23"/>
  <c r="G4" i="7"/>
  <c r="F105" i="29"/>
  <c r="F138" i="29"/>
  <c r="F74" i="29"/>
  <c r="G4" i="25"/>
  <c r="G4" i="17"/>
  <c r="G4" i="19"/>
  <c r="G4" i="24"/>
  <c r="G3" i="6"/>
  <c r="G28" i="16"/>
  <c r="G29" i="16"/>
  <c r="G4" i="21"/>
  <c r="G4" i="16"/>
  <c r="G4" i="5"/>
  <c r="G28" i="5"/>
  <c r="G29" i="5"/>
  <c r="G28" i="7"/>
  <c r="G29" i="7"/>
  <c r="G28" i="23"/>
  <c r="G29" i="23"/>
  <c r="G28" i="20"/>
  <c r="G29" i="20"/>
  <c r="G28" i="19"/>
  <c r="G29" i="19"/>
  <c r="G28" i="17"/>
  <c r="G29" i="17"/>
  <c r="G28" i="22"/>
  <c r="G29" i="22"/>
  <c r="G28" i="6"/>
  <c r="G29" i="6"/>
  <c r="G28" i="21"/>
  <c r="G29" i="21"/>
  <c r="G28" i="24"/>
  <c r="G29" i="24"/>
  <c r="G28" i="25"/>
  <c r="G29" i="25"/>
  <c r="G48" i="14"/>
  <c r="F40" i="14"/>
  <c r="G40" i="14"/>
  <c r="E30" i="14"/>
  <c r="F30" i="14"/>
  <c r="G30" i="14"/>
  <c r="I20" i="14"/>
  <c r="I25" i="14"/>
  <c r="J52" i="14"/>
  <c r="H50" i="14"/>
  <c r="E49" i="1"/>
  <c r="E63" i="1"/>
  <c r="I13" i="14"/>
  <c r="I15" i="14"/>
  <c r="I41" i="14"/>
  <c r="G49" i="14"/>
  <c r="F54" i="14"/>
  <c r="G54" i="14"/>
  <c r="F43" i="14"/>
  <c r="G43" i="14"/>
  <c r="I23" i="14"/>
  <c r="I17" i="14"/>
  <c r="I27" i="14"/>
  <c r="I10" i="14"/>
  <c r="H51" i="14"/>
  <c r="J51" i="14"/>
  <c r="I26" i="14"/>
  <c r="I16" i="14"/>
  <c r="I28" i="14"/>
  <c r="I18" i="14"/>
  <c r="J49" i="14"/>
  <c r="F32" i="14"/>
  <c r="I29" i="14"/>
  <c r="I11" i="14"/>
  <c r="H52" i="14"/>
  <c r="J48" i="14"/>
  <c r="I9" i="14"/>
  <c r="I24" i="14"/>
  <c r="E36" i="1"/>
  <c r="E47" i="1"/>
  <c r="I22" i="14"/>
  <c r="I14" i="14"/>
  <c r="I12" i="14"/>
  <c r="I40" i="14"/>
  <c r="I19" i="14"/>
  <c r="J50" i="14"/>
  <c r="H48" i="14"/>
  <c r="G32" i="14"/>
  <c r="F36" i="14"/>
  <c r="J54" i="14"/>
  <c r="F45" i="14"/>
  <c r="G36" i="14"/>
  <c r="G45" i="14"/>
  <c r="F56" i="14"/>
  <c r="G56" i="14"/>
  <c r="J42" i="14"/>
  <c r="E51" i="1"/>
  <c r="J32" i="14"/>
  <c r="I32" i="14"/>
  <c r="I21" i="14"/>
  <c r="E34" i="1"/>
  <c r="J43" i="14"/>
  <c r="I43" i="14"/>
  <c r="I42" i="14"/>
  <c r="J30" i="14"/>
  <c r="E38" i="1"/>
  <c r="E53" i="1"/>
  <c r="E65" i="1"/>
  <c r="D65" i="1"/>
  <c r="J36" i="14"/>
  <c r="I30" i="14"/>
  <c r="J45" i="14"/>
  <c r="I36" i="14"/>
  <c r="I45" i="14"/>
  <c r="J56" i="14"/>
  <c r="I56" i="14"/>
</calcChain>
</file>

<file path=xl/sharedStrings.xml><?xml version="1.0" encoding="utf-8"?>
<sst xmlns="http://schemas.openxmlformats.org/spreadsheetml/2006/main" count="1072" uniqueCount="412">
  <si>
    <t>Tomatoes in the Southwest Area, 2019/20</t>
  </si>
  <si>
    <t>IFAS Estimated Costs of Producing One Acre with Your Estimates for Comparison.</t>
  </si>
  <si>
    <t>IFAS Estimated Yield</t>
  </si>
  <si>
    <t>Blue cells cannot be altered by user.</t>
  </si>
  <si>
    <t>Your Anticipated Yield</t>
  </si>
  <si>
    <t>cartons</t>
  </si>
  <si>
    <t>Unit</t>
  </si>
  <si>
    <t>IFAS Quantity</t>
  </si>
  <si>
    <t>IFAS Price/Unit</t>
  </si>
  <si>
    <t>IFAS Cost/Acre</t>
  </si>
  <si>
    <t>IFAS $/carton</t>
  </si>
  <si>
    <t>Quantity/Acre</t>
  </si>
  <si>
    <t>Your $/unit</t>
  </si>
  <si>
    <t>Your Cost/Acre</t>
  </si>
  <si>
    <t>Pre-Harvest Variable Costs</t>
  </si>
  <si>
    <t>Seeds/Transplants</t>
  </si>
  <si>
    <t>acre</t>
  </si>
  <si>
    <t>Fertilizer, Mixed and Lime</t>
  </si>
  <si>
    <t>Fumigant and nematicide</t>
  </si>
  <si>
    <t>Crop Insurance</t>
  </si>
  <si>
    <t>Cover Crop</t>
  </si>
  <si>
    <t>Herbicide</t>
  </si>
  <si>
    <t>Insecticide</t>
  </si>
  <si>
    <t>Fungicide</t>
  </si>
  <si>
    <t>Tractors and Equipment- operation and maintenance</t>
  </si>
  <si>
    <t>Farm Trucks (driver cost included in overhead expense)</t>
  </si>
  <si>
    <t>Mile</t>
  </si>
  <si>
    <t>General Farm Labor</t>
  </si>
  <si>
    <t>Tractor Driver Labor</t>
  </si>
  <si>
    <t>Scouting</t>
  </si>
  <si>
    <t>Level Land</t>
  </si>
  <si>
    <t>Plastic Mulch</t>
  </si>
  <si>
    <t>Stakes</t>
  </si>
  <si>
    <t>Plastic String</t>
  </si>
  <si>
    <t>String Disposal</t>
  </si>
  <si>
    <t>Pull and Bundle Mulch</t>
  </si>
  <si>
    <t>Cross Ditch</t>
  </si>
  <si>
    <t>Trickle Tube</t>
  </si>
  <si>
    <t>Interest on Operating Capital</t>
  </si>
  <si>
    <t>Total Pre-Harvest Variable Costs EXCLUDING Interest on Variable Costs</t>
  </si>
  <si>
    <t>Total Pre-Harvest Variable Costs INCLUDING Interest on Variable Costs</t>
  </si>
  <si>
    <t>Pre-Harvest Fixed Costs</t>
  </si>
  <si>
    <t>Tractors and Machinery</t>
  </si>
  <si>
    <t>Land Rent</t>
  </si>
  <si>
    <t>Overhead and Management</t>
  </si>
  <si>
    <t>Total Pre-Harvest Fixed Costs</t>
  </si>
  <si>
    <t>Total Pre-Harvest Costs</t>
  </si>
  <si>
    <t>Harvest and Marketing Costs:</t>
  </si>
  <si>
    <t>Pick, Pack and Haul</t>
  </si>
  <si>
    <t>Sell</t>
  </si>
  <si>
    <t>Containers</t>
  </si>
  <si>
    <t>Organization Fees</t>
  </si>
  <si>
    <t>Other Harvest and Marketing Costs</t>
  </si>
  <si>
    <t>Total IFAS Estimated Harvest and Marketing Costs Compared to your costs.</t>
  </si>
  <si>
    <t>Total Cost per Acre</t>
  </si>
  <si>
    <r>
      <t>Your Estimated Cost of Producing One Acre of:</t>
    </r>
    <r>
      <rPr>
        <b/>
        <sz val="12"/>
        <color indexed="9"/>
        <rFont val="Arial"/>
        <family val="2"/>
      </rPr>
      <t xml:space="preserve"> </t>
    </r>
  </si>
  <si>
    <t>SW Florida Tomatoes 2019/20</t>
  </si>
  <si>
    <t>Orange cells permit user input.</t>
  </si>
  <si>
    <t>Your Anticipated Yield (cwt)</t>
  </si>
  <si>
    <r>
      <t xml:space="preserve">White cells </t>
    </r>
    <r>
      <rPr>
        <b/>
        <u/>
        <sz val="11"/>
        <rFont val="Arial"/>
        <family val="2"/>
      </rPr>
      <t>require</t>
    </r>
    <r>
      <rPr>
        <b/>
        <sz val="11"/>
        <rFont val="Arial"/>
        <family val="2"/>
      </rPr>
      <t xml:space="preserve"> user input.</t>
    </r>
  </si>
  <si>
    <t>Quantity</t>
  </si>
  <si>
    <t>Price</t>
  </si>
  <si>
    <t>Transplants (cost of seed and growing transplants)</t>
  </si>
  <si>
    <t>plants</t>
  </si>
  <si>
    <t>Fertilizer Mixed and Lime</t>
  </si>
  <si>
    <t>Farm Trucks Cost (driver cost INCLUDED in overhead and management expense)</t>
  </si>
  <si>
    <t>General Farm Labor (does not include harvesting)</t>
  </si>
  <si>
    <t>Tractor Driver Multiplier (to account for re-tooling, re-fueling and travel time.)</t>
  </si>
  <si>
    <t>Tractor Driver Labor Expense</t>
  </si>
  <si>
    <t>Drip tube</t>
  </si>
  <si>
    <t>Dumpster contract</t>
  </si>
  <si>
    <t>Interest Rate on Operating Capital as a % of Operating Capital for this Crop</t>
  </si>
  <si>
    <t>Length of Interest Bearing Season for This Crop in Months</t>
  </si>
  <si>
    <t>Interest Expense on Variable Costs per Acre</t>
  </si>
  <si>
    <t>Total Pre-Harvest Variable Costs EXCLUDING Pre-Harvest Interest Expense</t>
  </si>
  <si>
    <t>Total Pre-Harvest Variable Costs INCLUDING Pre-Harvest Interest Expense</t>
  </si>
  <si>
    <t>Tractors and Equipment</t>
  </si>
  <si>
    <t>Your Overhead and Farm Management Cost (as a % of total variable costs)</t>
  </si>
  <si>
    <t>Total Pre-Harvest Fixed Costs EXCLUDING Interest on Fixed and Overhead</t>
  </si>
  <si>
    <t>Total Pre-Harvest Fixed Costs INCLUDING Interest and Overhead Expenses</t>
  </si>
  <si>
    <t>Your Total Pre-Harvest Costs INCLUDING Total Fixed and Variable Expenses</t>
  </si>
  <si>
    <t>carton</t>
  </si>
  <si>
    <t>Your Total Harvest and Marketing Costs</t>
  </si>
  <si>
    <t>Cost per Unit and Total Costs per Acre</t>
  </si>
  <si>
    <t>IFAS Estimated Machinery Costs in the SW Tomato Comparitive Budget</t>
  </si>
  <si>
    <t>Tractor Hp &amp; Implement</t>
  </si>
  <si>
    <t>Hrs/Acre</t>
  </si>
  <si>
    <t>Cost/Hr</t>
  </si>
  <si>
    <t>Stake Wagon</t>
  </si>
  <si>
    <t>*Data in this table cannot be changed nor modified. It is provided for the purpose of itemizing the data used to report tractor and equipment costs in the comparitive budget.</t>
  </si>
  <si>
    <t>70 Hp Tractor</t>
  </si>
  <si>
    <t>Herbicide Sprayer</t>
  </si>
  <si>
    <t>Boom Sprayer</t>
  </si>
  <si>
    <t>Row Marker</t>
  </si>
  <si>
    <t>100 hp tractor</t>
  </si>
  <si>
    <t>Fumigator (3-row)</t>
  </si>
  <si>
    <t>Plastic Machine (3-row)</t>
  </si>
  <si>
    <t>125 Hp Tractor</t>
  </si>
  <si>
    <t>Transplanter (3-row)</t>
  </si>
  <si>
    <t>Stake Driver (3-row)</t>
  </si>
  <si>
    <t>Disc (18 ft)</t>
  </si>
  <si>
    <t>180 hp tractor</t>
  </si>
  <si>
    <t>Ditch Plow (7 ft)</t>
  </si>
  <si>
    <t>210 hp tractor</t>
  </si>
  <si>
    <t>V-Ditcher</t>
  </si>
  <si>
    <t>Superbedder (3-row)</t>
  </si>
  <si>
    <t>Miscellaneous</t>
  </si>
  <si>
    <t>Diesel Pump 21hp</t>
  </si>
  <si>
    <t>Diesel Pump 60hp</t>
  </si>
  <si>
    <t>Total Tractor Cost/Acre</t>
  </si>
  <si>
    <t>Total Equipment Cost/Acre</t>
  </si>
  <si>
    <t xml:space="preserve">Tractor Labor Cost/Hr </t>
  </si>
  <si>
    <t>Total Miscellaneous Cost/Acre</t>
  </si>
  <si>
    <t>Machinery Costs for Calculating Your Budget with a 35 hp Tractor</t>
  </si>
  <si>
    <t>Equipment Name</t>
  </si>
  <si>
    <t>Variable Cost/Hr</t>
  </si>
  <si>
    <t>Fixed Cost/Hr</t>
  </si>
  <si>
    <t>Your Variable Cost/Acre</t>
  </si>
  <si>
    <t>Your Fixed Cost/Acre</t>
  </si>
  <si>
    <t>Your Total Cost/Acre</t>
  </si>
  <si>
    <t>Tractor 35 Hp</t>
  </si>
  <si>
    <t>Equipment Expenses</t>
  </si>
  <si>
    <t>Tractor Expenses</t>
  </si>
  <si>
    <t>Total Expenses Less Tractor Driver Expense</t>
  </si>
  <si>
    <t>Tractor Driver $/Hr (tractor labor cost accounted for in Overhead and Management).</t>
  </si>
  <si>
    <t>Machinery Costs for Calculating Your Budget with a 55 hp Tractor</t>
  </si>
  <si>
    <t>Variable Cost/hr</t>
  </si>
  <si>
    <t>Fixed Cost/hr</t>
  </si>
  <si>
    <t>Tractor 55 HP</t>
  </si>
  <si>
    <t>Machinery Costs for Calculating Your Budget with a 70 hp Tractor</t>
  </si>
  <si>
    <t>Tractor 70 Hp</t>
  </si>
  <si>
    <t>Fertilizer Distributor (1 row)</t>
  </si>
  <si>
    <t>Broadcast Spreader (20 ft)</t>
  </si>
  <si>
    <t>Machinery Costs for Calculating Your Budget with a 75 hp Tractor</t>
  </si>
  <si>
    <t>Tractor 75 Hp</t>
  </si>
  <si>
    <t>Machinery Costs for Calculating Your Budget with a 80 hp Tractor</t>
  </si>
  <si>
    <t>Hrs./Acre</t>
  </si>
  <si>
    <t>Tractor 80 HP</t>
  </si>
  <si>
    <t>Machinery Costs for Calculating Your Budget with a 100 hp Tractor</t>
  </si>
  <si>
    <t>Tractor 100 Hp</t>
  </si>
  <si>
    <t>1-Row Transplanter</t>
  </si>
  <si>
    <t>3-Row Herbicide Sprayer</t>
  </si>
  <si>
    <t>Stake Puller (3-row)</t>
  </si>
  <si>
    <t>Burner (18 ft)</t>
  </si>
  <si>
    <t>Stake Driver (6-row)</t>
  </si>
  <si>
    <t>Fertilizer Tender</t>
  </si>
  <si>
    <t>Bed Press (1-row)</t>
  </si>
  <si>
    <t>Machinery Costs for Calculating Your Budget with a 110 hp Tractor</t>
  </si>
  <si>
    <t>Tractor 110 Hp</t>
  </si>
  <si>
    <t>Machinery Costs for Calculating Your Budget with a 125 hp Tractor</t>
  </si>
  <si>
    <t>YourTotal Cost/Acre</t>
  </si>
  <si>
    <t>Tractor 125 Hp</t>
  </si>
  <si>
    <t>Plastic Machine (1-row)</t>
  </si>
  <si>
    <t>Fumigator (1-row)</t>
  </si>
  <si>
    <t>Leveler (14 ft)</t>
  </si>
  <si>
    <t>Machinery Costs for Calculating Your Budget with a 130 hp Tractor</t>
  </si>
  <si>
    <t>Your Fix Cost/Acre</t>
  </si>
  <si>
    <t>Tractor 130 HP</t>
  </si>
  <si>
    <t>Implement Expenses</t>
  </si>
  <si>
    <t>Machinery Costs for Calculating Your Budget with a 140 hp Tractor</t>
  </si>
  <si>
    <t>Tractor 140 Hp</t>
  </si>
  <si>
    <t>Machinery Costs for Calculating Your Budget with a 180 hp Tractor</t>
  </si>
  <si>
    <t>Tractor 180 HP</t>
  </si>
  <si>
    <t>Heavy Disc (13 ft)</t>
  </si>
  <si>
    <t>Machinery Costs for Calculating Your Budget with a 210 hp Tractor</t>
  </si>
  <si>
    <t>Tractor 210 HP</t>
  </si>
  <si>
    <t>Machinery Costs for Calculating Your Budget with Self-Propelled Equipment.</t>
  </si>
  <si>
    <t>Farm PickupTrucks (data for farm truck business use only)*</t>
  </si>
  <si>
    <t>Total Planted Acreage</t>
  </si>
  <si>
    <t>12 Mo Annual Mileage (All Vehicles)</t>
  </si>
  <si>
    <t>Number of Months This Crop</t>
  </si>
  <si>
    <t xml:space="preserve">Per Mile Business Expense </t>
  </si>
  <si>
    <t>Percent Business Use During Crop Season</t>
  </si>
  <si>
    <t>Mileage Associated with This Crop</t>
  </si>
  <si>
    <t>Total Truck Expense This Crop</t>
  </si>
  <si>
    <t>Total Truck Expense per Acre This Crop</t>
  </si>
  <si>
    <t>Additional Self-Propelled Equipment</t>
  </si>
  <si>
    <t>Your Variable Cost/Hr</t>
  </si>
  <si>
    <t>Your Fixed Cost/Hr</t>
  </si>
  <si>
    <t>Hours/acre</t>
  </si>
  <si>
    <t>Machinery Name</t>
  </si>
  <si>
    <t>Total Self-Propelled Vehicle Hours per Acre. Truck Driver Cost Accounted for in Overhead and Management.</t>
  </si>
  <si>
    <t>Total Self-Propelled Vehicle Cost per Acre</t>
  </si>
  <si>
    <t>Driver Wage $/hr</t>
  </si>
  <si>
    <t>Miscellaneous Equipment</t>
  </si>
  <si>
    <t>Diesel Pump 100hp</t>
  </si>
  <si>
    <t>Total Miscellaneous Equipment Expenses</t>
  </si>
  <si>
    <t>Your Herbicides</t>
  </si>
  <si>
    <t>Units</t>
  </si>
  <si>
    <t>Units/ App</t>
  </si>
  <si>
    <t>Price/Unit</t>
  </si>
  <si>
    <t># Of Apps</t>
  </si>
  <si>
    <t>Total Cost/Acre</t>
  </si>
  <si>
    <t>Glyphodate</t>
  </si>
  <si>
    <t>qt</t>
  </si>
  <si>
    <t>Crop oil</t>
  </si>
  <si>
    <t>gal</t>
  </si>
  <si>
    <t>Gramoxone</t>
  </si>
  <si>
    <t>Roundup</t>
  </si>
  <si>
    <t>Dual Magnum</t>
  </si>
  <si>
    <t>pt</t>
  </si>
  <si>
    <t>Aim</t>
  </si>
  <si>
    <t>oz</t>
  </si>
  <si>
    <t>Select Max/Arrow</t>
  </si>
  <si>
    <t>Sencor</t>
  </si>
  <si>
    <t>lb</t>
  </si>
  <si>
    <t>Crop Oil</t>
  </si>
  <si>
    <t>Your Fungicides</t>
  </si>
  <si>
    <t>Units/App</t>
  </si>
  <si>
    <t>Price /Unit</t>
  </si>
  <si>
    <t>Actigard</t>
  </si>
  <si>
    <t>Kocide 3000</t>
  </si>
  <si>
    <t>Manzate</t>
  </si>
  <si>
    <t>Bravo Weather Stik</t>
  </si>
  <si>
    <t>Fontelis</t>
  </si>
  <si>
    <t>Priaxor</t>
  </si>
  <si>
    <t>Inspire Super</t>
  </si>
  <si>
    <t>Tanos</t>
  </si>
  <si>
    <t>Scala</t>
  </si>
  <si>
    <t>Curzate</t>
  </si>
  <si>
    <t>Previcur Flex</t>
  </si>
  <si>
    <t>Presidio</t>
  </si>
  <si>
    <t>Revus Top</t>
  </si>
  <si>
    <t>Bravo</t>
  </si>
  <si>
    <t>Kocide</t>
  </si>
  <si>
    <t>Manex</t>
  </si>
  <si>
    <t>Ridamil</t>
  </si>
  <si>
    <t>Your Insecticides and Nematicides</t>
  </si>
  <si>
    <t># of Apps</t>
  </si>
  <si>
    <t>Venom</t>
  </si>
  <si>
    <t>Coregan</t>
  </si>
  <si>
    <t>Fulfill</t>
  </si>
  <si>
    <t>Avaunt</t>
  </si>
  <si>
    <t>Malathion</t>
  </si>
  <si>
    <t>Radiant</t>
  </si>
  <si>
    <t>Agrimek</t>
  </si>
  <si>
    <t>Pyrethroids (Hero/Baythroid)</t>
  </si>
  <si>
    <t>Brigade</t>
  </si>
  <si>
    <t>Movento</t>
  </si>
  <si>
    <t>Xentari</t>
  </si>
  <si>
    <t>Dipel</t>
  </si>
  <si>
    <t>M-Pede</t>
  </si>
  <si>
    <t>Oberon</t>
  </si>
  <si>
    <t>Admire</t>
  </si>
  <si>
    <t>Agri-Mek</t>
  </si>
  <si>
    <t>Ambush</t>
  </si>
  <si>
    <t>Asana</t>
  </si>
  <si>
    <t>Enduce (surfactant)</t>
  </si>
  <si>
    <t>Javalin</t>
  </si>
  <si>
    <t>Lannate</t>
  </si>
  <si>
    <t>Lorsban</t>
  </si>
  <si>
    <t>Thiodan</t>
  </si>
  <si>
    <t>Your Fumigants</t>
  </si>
  <si>
    <t>Pic-Clor 60</t>
  </si>
  <si>
    <t>Methyl Bromide 50/50</t>
  </si>
  <si>
    <t>DESCRIPTION</t>
  </si>
  <si>
    <t>Dollars per Hour</t>
  </si>
  <si>
    <t>Hours per Acre</t>
  </si>
  <si>
    <t>Total Cost per Hour</t>
  </si>
  <si>
    <t>Variable</t>
  </si>
  <si>
    <t>Fixed</t>
  </si>
  <si>
    <t>Baler</t>
  </si>
  <si>
    <t>Subsoiler 12ft</t>
  </si>
  <si>
    <t>Chisel Plow 12ft</t>
  </si>
  <si>
    <t>Spring Tooth 25ft</t>
  </si>
  <si>
    <t>Superbedder 3R</t>
  </si>
  <si>
    <t>Middlebuster 6'</t>
  </si>
  <si>
    <t>Middlebuster 18'</t>
  </si>
  <si>
    <t>Heavy Disc 13'</t>
  </si>
  <si>
    <t>8' Disc</t>
  </si>
  <si>
    <t>12' Disc</t>
  </si>
  <si>
    <t>13' Disc</t>
  </si>
  <si>
    <t>14' Disc</t>
  </si>
  <si>
    <t>16' Disc</t>
  </si>
  <si>
    <t>18' Disc</t>
  </si>
  <si>
    <t>20' Disc</t>
  </si>
  <si>
    <t>24' Disc</t>
  </si>
  <si>
    <t>27' Disc</t>
  </si>
  <si>
    <t>30' Disc</t>
  </si>
  <si>
    <t>18' Bedder with hopper</t>
  </si>
  <si>
    <t>6' Bedder</t>
  </si>
  <si>
    <t>Vine Pruner</t>
  </si>
  <si>
    <t>Liquid Fertilizer Applicator</t>
  </si>
  <si>
    <t>1 Row Fertilizer Distributor</t>
  </si>
  <si>
    <t>2 Row Fertilizer Distributor</t>
  </si>
  <si>
    <t>3 Row Fertilizer Distributor</t>
  </si>
  <si>
    <t>20' Broadcast Spreader</t>
  </si>
  <si>
    <t>Chain Potato Harvester</t>
  </si>
  <si>
    <t>Belt Potato Harvester</t>
  </si>
  <si>
    <t>7' Bottom Plow</t>
  </si>
  <si>
    <t>12' Bottom Plow</t>
  </si>
  <si>
    <t>14' Reverse Plow</t>
  </si>
  <si>
    <t>12' Mole Drain</t>
  </si>
  <si>
    <t>12' Moldboard</t>
  </si>
  <si>
    <t>7' Ditch Plow</t>
  </si>
  <si>
    <t>Sidemower</t>
  </si>
  <si>
    <t>6' Mower</t>
  </si>
  <si>
    <t>Traveling Gun Rig</t>
  </si>
  <si>
    <t>Stake Puller 1 Row</t>
  </si>
  <si>
    <t>Stake Puller 3 Row</t>
  </si>
  <si>
    <t>Stake Puller 6 Row</t>
  </si>
  <si>
    <t>Span Piler</t>
  </si>
  <si>
    <t>Potato Cutter</t>
  </si>
  <si>
    <t>Plastic Machine 1 Row</t>
  </si>
  <si>
    <t>Plastic Machine 3 Row</t>
  </si>
  <si>
    <t>Fertilizer Mixer</t>
  </si>
  <si>
    <t>14' Leveler</t>
  </si>
  <si>
    <t>20' Leveler</t>
  </si>
  <si>
    <t>Hole Puncher 1 row 6'</t>
  </si>
  <si>
    <t>Fumigatator 1 row 6'</t>
  </si>
  <si>
    <t>Fumigatator 3 row18'</t>
  </si>
  <si>
    <t>Diesel Pump 21 hp</t>
  </si>
  <si>
    <t>Diesel Pump 40 hp</t>
  </si>
  <si>
    <t>Diesel Pump 60 hp</t>
  </si>
  <si>
    <t>Diesel Pump 75 hp</t>
  </si>
  <si>
    <t>Diesel Pump 100 hp</t>
  </si>
  <si>
    <t>Diesel Pump 115 hp</t>
  </si>
  <si>
    <t>Diesel Pump 117 hp</t>
  </si>
  <si>
    <t>Diesel Pump 125 hp</t>
  </si>
  <si>
    <t>Diesel Pump 150 hp</t>
  </si>
  <si>
    <t>Diesel Pump 175 hp</t>
  </si>
  <si>
    <t>Diesel Pump 200 hp</t>
  </si>
  <si>
    <t>Electric Pump 10 hp</t>
  </si>
  <si>
    <t>Electric Pump 25 hp</t>
  </si>
  <si>
    <t>Electric Pump 30 hp</t>
  </si>
  <si>
    <t>Elevavator</t>
  </si>
  <si>
    <t>Cross Ditcher 6'</t>
  </si>
  <si>
    <t>Cross Ditcher 20'</t>
  </si>
  <si>
    <t>Cross Ditcher 30'</t>
  </si>
  <si>
    <t>Burner 12'</t>
  </si>
  <si>
    <t>Burner 18'</t>
  </si>
  <si>
    <t>Bulk Truck</t>
  </si>
  <si>
    <t>Bed Press 6'</t>
  </si>
  <si>
    <t>Bed Press 12'</t>
  </si>
  <si>
    <t>Stake Driver 3 row</t>
  </si>
  <si>
    <t>Lettuce Planter</t>
  </si>
  <si>
    <t>Grain Drill</t>
  </si>
  <si>
    <t>Tomato Planter 3 row</t>
  </si>
  <si>
    <t>Vacuum Corn Planter</t>
  </si>
  <si>
    <t>Celery Transplanter</t>
  </si>
  <si>
    <t>Cabbage Transplanter</t>
  </si>
  <si>
    <t>Transplanter 1 row</t>
  </si>
  <si>
    <t>Transplanter 3 row</t>
  </si>
  <si>
    <t>Potato Planter</t>
  </si>
  <si>
    <t>Plug Mix Planter</t>
  </si>
  <si>
    <t>Planter 6'</t>
  </si>
  <si>
    <t>Planter 10'</t>
  </si>
  <si>
    <t>Plant Setter</t>
  </si>
  <si>
    <t>Weed Chopper 27'</t>
  </si>
  <si>
    <t>Roterra</t>
  </si>
  <si>
    <t>Rototiller 14'</t>
  </si>
  <si>
    <t>Lister 20'</t>
  </si>
  <si>
    <t>Cultivator 6'</t>
  </si>
  <si>
    <t>Cultivator 10'</t>
  </si>
  <si>
    <t>Cultivator 16'</t>
  </si>
  <si>
    <t>Nurse Tank</t>
  </si>
  <si>
    <t>Herbicide Sprayer 2 row</t>
  </si>
  <si>
    <t>Herbicide Sprayer 3 row</t>
  </si>
  <si>
    <t>Herbicide Sprayer 8 row</t>
  </si>
  <si>
    <t>25 hp tractor</t>
  </si>
  <si>
    <t>34 hp tractor</t>
  </si>
  <si>
    <t>35 hp tractor</t>
  </si>
  <si>
    <t>40 hp tractor</t>
  </si>
  <si>
    <t>55 hp tractor</t>
  </si>
  <si>
    <t>60 hp tractor</t>
  </si>
  <si>
    <t>70 hp tractor</t>
  </si>
  <si>
    <t>75 hp tractor</t>
  </si>
  <si>
    <t>80 hp tractor</t>
  </si>
  <si>
    <t>85 hp tractor</t>
  </si>
  <si>
    <t>95 hp tractor</t>
  </si>
  <si>
    <t>110 hp tractor</t>
  </si>
  <si>
    <t>125 hp tractor</t>
  </si>
  <si>
    <t>130 hp tractor</t>
  </si>
  <si>
    <t>140 hp tractor</t>
  </si>
  <si>
    <t>150 hp tractor</t>
  </si>
  <si>
    <t>160 hp tractor</t>
  </si>
  <si>
    <t>170 hp tractor</t>
  </si>
  <si>
    <t>Motorgrader</t>
  </si>
  <si>
    <t>Highboy Tractor</t>
  </si>
  <si>
    <t>Crawler Tractor</t>
  </si>
  <si>
    <t>225 hp tractor</t>
  </si>
  <si>
    <t>320 hp tractor</t>
  </si>
  <si>
    <t>325 hp tractor</t>
  </si>
  <si>
    <t>Cabbage Cart</t>
  </si>
  <si>
    <t>Granular Hopper</t>
  </si>
  <si>
    <t>LIST-YEAR</t>
  </si>
  <si>
    <t xml:space="preserve"> Machinery Costs per hour 2010-11. (base year '08-'09)</t>
  </si>
  <si>
    <t>Revised</t>
  </si>
  <si>
    <t>2011 coeffients (base '08-'09)</t>
  </si>
  <si>
    <t>LIST</t>
  </si>
  <si>
    <t>BALER/FORAGE HARVESTER</t>
  </si>
  <si>
    <t>CHISEL PLOW</t>
  </si>
  <si>
    <t>DISCS</t>
  </si>
  <si>
    <t>FERTILIZER SPREADERS</t>
  </si>
  <si>
    <t>FORAGE HARVESTERS</t>
  </si>
  <si>
    <t>MOLDBOARD PLOWS</t>
  </si>
  <si>
    <t>MOWERS</t>
  </si>
  <si>
    <t>OTHER / MISCELLANEOUS</t>
  </si>
  <si>
    <t>PLANTERS-DRILLS</t>
  </si>
  <si>
    <t>Tomoto Planter 3 row</t>
  </si>
  <si>
    <t>ROTARY HOES / CHOPPERS</t>
  </si>
  <si>
    <t>ROTARY TILLER</t>
  </si>
  <si>
    <t>ROW CULTIVATORS</t>
  </si>
  <si>
    <t>SPRAYERS</t>
  </si>
  <si>
    <t>TRACTORS-2WD</t>
  </si>
  <si>
    <t>TRACTORS-4WD</t>
  </si>
  <si>
    <t>WAGONS</t>
  </si>
  <si>
    <t xml:space="preserve"> Machinery Costs per hour 2017-18. (base year '08-'09)</t>
  </si>
  <si>
    <t>variable</t>
  </si>
  <si>
    <t>fixed</t>
  </si>
  <si>
    <t>2018 coeffients (base '08-'09)</t>
  </si>
  <si>
    <t>Elevator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</si>
</sst>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"/>
    <numFmt numFmtId="166" formatCode="_(* #,##0.000_);_(* \(#,##0.000\);_(* &quot;-&quot;??_);_(@_)"/>
  </numFmts>
  <fonts count="34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u/>
      <sz val="12"/>
      <color indexed="9"/>
      <name val="Arial"/>
      <family val="2"/>
    </font>
    <font>
      <b/>
      <sz val="11"/>
      <color indexed="9"/>
      <name val="Arial"/>
      <family val="2"/>
    </font>
    <font>
      <b/>
      <u/>
      <sz val="10"/>
      <color indexed="9"/>
      <name val="Arial"/>
      <family val="2"/>
    </font>
    <font>
      <b/>
      <u/>
      <sz val="11"/>
      <color indexed="9"/>
      <name val="Arial"/>
      <family val="2"/>
    </font>
    <font>
      <u/>
      <sz val="10"/>
      <name val="Arial"/>
      <family val="2"/>
    </font>
    <font>
      <b/>
      <i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12"/>
      <name val="Arial"/>
      <family val="2"/>
    </font>
    <font>
      <b/>
      <sz val="11"/>
      <color indexed="53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u/>
      <sz val="10"/>
      <color indexed="9"/>
      <name val="Arial"/>
      <family val="2"/>
    </font>
    <font>
      <b/>
      <i/>
      <sz val="11"/>
      <color indexed="53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  <font>
      <b/>
      <u/>
      <sz val="10"/>
      <color rgb="FF071CB9"/>
      <name val="Arial"/>
      <family val="2"/>
    </font>
    <font>
      <b/>
      <u/>
      <sz val="11"/>
      <color rgb="FF071CB9"/>
      <name val="Arial"/>
      <family val="2"/>
    </font>
    <font>
      <b/>
      <sz val="10"/>
      <color rgb="FF071CB9"/>
      <name val="Arial"/>
      <family val="2"/>
    </font>
    <font>
      <b/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12"/>
      </left>
      <right/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0" borderId="0"/>
    <xf numFmtId="0" fontId="19" fillId="2" borderId="1" applyNumberFormat="0" applyFont="0" applyAlignment="0" applyProtection="0"/>
    <xf numFmtId="9" fontId="1" fillId="0" borderId="0" applyFont="0" applyFill="0" applyBorder="0" applyAlignment="0" applyProtection="0"/>
  </cellStyleXfs>
  <cellXfs count="4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8" fillId="3" borderId="0" xfId="0" applyFont="1" applyFill="1"/>
    <xf numFmtId="164" fontId="8" fillId="3" borderId="2" xfId="0" applyNumberFormat="1" applyFont="1" applyFill="1" applyBorder="1" applyAlignment="1">
      <alignment horizontal="right"/>
    </xf>
    <xf numFmtId="164" fontId="8" fillId="3" borderId="2" xfId="0" applyNumberFormat="1" applyFont="1" applyFill="1" applyBorder="1"/>
    <xf numFmtId="2" fontId="8" fillId="3" borderId="2" xfId="0" applyNumberFormat="1" applyFont="1" applyFill="1" applyBorder="1"/>
    <xf numFmtId="0" fontId="8" fillId="3" borderId="2" xfId="0" applyFont="1" applyFill="1" applyBorder="1"/>
    <xf numFmtId="0" fontId="10" fillId="3" borderId="2" xfId="0" applyFont="1" applyFill="1" applyBorder="1"/>
    <xf numFmtId="0" fontId="0" fillId="3" borderId="2" xfId="0" applyFill="1" applyBorder="1"/>
    <xf numFmtId="0" fontId="8" fillId="3" borderId="2" xfId="0" applyFont="1" applyFill="1" applyBorder="1" applyAlignment="1">
      <alignment horizontal="right"/>
    </xf>
    <xf numFmtId="2" fontId="8" fillId="3" borderId="2" xfId="0" applyNumberFormat="1" applyFont="1" applyFill="1" applyBorder="1" applyAlignment="1">
      <alignment horizontal="right"/>
    </xf>
    <xf numFmtId="164" fontId="3" fillId="3" borderId="2" xfId="0" applyNumberFormat="1" applyFont="1" applyFill="1" applyBorder="1" applyAlignment="1">
      <alignment horizontal="right"/>
    </xf>
    <xf numFmtId="164" fontId="11" fillId="3" borderId="2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2" fontId="3" fillId="3" borderId="2" xfId="0" applyNumberFormat="1" applyFont="1" applyFill="1" applyBorder="1" applyAlignment="1">
      <alignment horizontal="right"/>
    </xf>
    <xf numFmtId="0" fontId="8" fillId="4" borderId="2" xfId="0" applyFont="1" applyFill="1" applyBorder="1" applyAlignment="1" applyProtection="1">
      <alignment horizontal="right"/>
      <protection locked="0"/>
    </xf>
    <xf numFmtId="2" fontId="8" fillId="4" borderId="2" xfId="0" applyNumberFormat="1" applyFont="1" applyFill="1" applyBorder="1" applyAlignment="1" applyProtection="1">
      <alignment horizontal="right"/>
      <protection locked="0"/>
    </xf>
    <xf numFmtId="164" fontId="8" fillId="4" borderId="2" xfId="0" applyNumberFormat="1" applyFont="1" applyFill="1" applyBorder="1" applyAlignment="1" applyProtection="1">
      <alignment horizontal="right"/>
      <protection locked="0"/>
    </xf>
    <xf numFmtId="0" fontId="8" fillId="4" borderId="2" xfId="0" applyFont="1" applyFill="1" applyBorder="1" applyProtection="1">
      <protection locked="0"/>
    </xf>
    <xf numFmtId="0" fontId="8" fillId="3" borderId="2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center"/>
    </xf>
    <xf numFmtId="10" fontId="8" fillId="3" borderId="2" xfId="0" applyNumberFormat="1" applyFont="1" applyFill="1" applyBorder="1" applyAlignment="1">
      <alignment horizontal="right"/>
    </xf>
    <xf numFmtId="4" fontId="8" fillId="4" borderId="3" xfId="0" applyNumberFormat="1" applyFont="1" applyFill="1" applyBorder="1" applyAlignment="1" applyProtection="1">
      <alignment horizontal="center"/>
      <protection locked="0"/>
    </xf>
    <xf numFmtId="4" fontId="8" fillId="4" borderId="3" xfId="0" quotePrefix="1" applyNumberFormat="1" applyFont="1" applyFill="1" applyBorder="1" applyAlignment="1" applyProtection="1">
      <alignment horizontal="center"/>
      <protection locked="0"/>
    </xf>
    <xf numFmtId="0" fontId="10" fillId="4" borderId="2" xfId="0" applyFont="1" applyFill="1" applyBorder="1" applyProtection="1"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164" fontId="8" fillId="4" borderId="2" xfId="0" applyNumberFormat="1" applyFont="1" applyFill="1" applyBorder="1" applyProtection="1">
      <protection locked="0"/>
    </xf>
    <xf numFmtId="2" fontId="8" fillId="4" borderId="2" xfId="0" applyNumberFormat="1" applyFont="1" applyFill="1" applyBorder="1" applyAlignment="1" applyProtection="1">
      <alignment horizontal="center"/>
      <protection locked="0"/>
    </xf>
    <xf numFmtId="4" fontId="8" fillId="4" borderId="2" xfId="0" applyNumberFormat="1" applyFont="1" applyFill="1" applyBorder="1" applyAlignment="1" applyProtection="1">
      <alignment horizontal="right"/>
      <protection locked="0"/>
    </xf>
    <xf numFmtId="2" fontId="8" fillId="4" borderId="2" xfId="0" applyNumberFormat="1" applyFont="1" applyFill="1" applyBorder="1" applyProtection="1">
      <protection locked="0"/>
    </xf>
    <xf numFmtId="164" fontId="11" fillId="3" borderId="2" xfId="0" applyNumberFormat="1" applyFont="1" applyFill="1" applyBorder="1"/>
    <xf numFmtId="0" fontId="8" fillId="3" borderId="2" xfId="0" applyFont="1" applyFill="1" applyBorder="1" applyAlignment="1">
      <alignment wrapText="1"/>
    </xf>
    <xf numFmtId="0" fontId="12" fillId="3" borderId="2" xfId="0" applyFont="1" applyFill="1" applyBorder="1"/>
    <xf numFmtId="0" fontId="0" fillId="3" borderId="4" xfId="0" applyFill="1" applyBorder="1" applyAlignment="1">
      <alignment wrapText="1"/>
    </xf>
    <xf numFmtId="3" fontId="8" fillId="3" borderId="2" xfId="0" applyNumberFormat="1" applyFont="1" applyFill="1" applyBorder="1" applyAlignment="1">
      <alignment horizontal="right"/>
    </xf>
    <xf numFmtId="3" fontId="8" fillId="3" borderId="2" xfId="0" applyNumberFormat="1" applyFont="1" applyFill="1" applyBorder="1" applyAlignment="1">
      <alignment horizontal="center"/>
    </xf>
    <xf numFmtId="3" fontId="8" fillId="4" borderId="2" xfId="0" applyNumberFormat="1" applyFont="1" applyFill="1" applyBorder="1" applyAlignment="1" applyProtection="1">
      <alignment horizontal="right"/>
      <protection locked="0"/>
    </xf>
    <xf numFmtId="0" fontId="8" fillId="4" borderId="2" xfId="0" applyFont="1" applyFill="1" applyBorder="1"/>
    <xf numFmtId="49" fontId="8" fillId="3" borderId="2" xfId="0" applyNumberFormat="1" applyFont="1" applyFill="1" applyBorder="1" applyProtection="1">
      <protection locked="0"/>
    </xf>
    <xf numFmtId="9" fontId="8" fillId="4" borderId="2" xfId="0" applyNumberFormat="1" applyFont="1" applyFill="1" applyBorder="1" applyAlignment="1" applyProtection="1">
      <alignment horizontal="right"/>
      <protection locked="0"/>
    </xf>
    <xf numFmtId="0" fontId="10" fillId="4" borderId="2" xfId="0" applyFont="1" applyFill="1" applyBorder="1"/>
    <xf numFmtId="164" fontId="11" fillId="3" borderId="2" xfId="0" applyNumberFormat="1" applyFont="1" applyFill="1" applyBorder="1" applyAlignment="1">
      <alignment horizontal="right" vertical="center"/>
    </xf>
    <xf numFmtId="3" fontId="8" fillId="3" borderId="2" xfId="0" applyNumberFormat="1" applyFont="1" applyFill="1" applyBorder="1" applyAlignment="1">
      <alignment horizontal="right" vertical="center"/>
    </xf>
    <xf numFmtId="164" fontId="11" fillId="3" borderId="2" xfId="0" applyNumberFormat="1" applyFont="1" applyFill="1" applyBorder="1" applyAlignment="1">
      <alignment vertical="center"/>
    </xf>
    <xf numFmtId="0" fontId="8" fillId="3" borderId="2" xfId="0" applyFont="1" applyFill="1" applyBorder="1" applyAlignment="1">
      <alignment horizontal="right" vertical="center"/>
    </xf>
    <xf numFmtId="164" fontId="8" fillId="3" borderId="2" xfId="0" applyNumberFormat="1" applyFont="1" applyFill="1" applyBorder="1" applyAlignment="1">
      <alignment horizontal="right" vertical="center"/>
    </xf>
    <xf numFmtId="3" fontId="11" fillId="3" borderId="2" xfId="0" applyNumberFormat="1" applyFont="1" applyFill="1" applyBorder="1" applyAlignment="1">
      <alignment horizontal="right" vertical="center"/>
    </xf>
    <xf numFmtId="0" fontId="13" fillId="0" borderId="5" xfId="0" applyFont="1" applyBorder="1" applyAlignment="1">
      <alignment wrapText="1"/>
    </xf>
    <xf numFmtId="0" fontId="13" fillId="0" borderId="0" xfId="0" applyFont="1" applyAlignment="1">
      <alignment wrapText="1"/>
    </xf>
    <xf numFmtId="164" fontId="8" fillId="3" borderId="6" xfId="0" applyNumberFormat="1" applyFont="1" applyFill="1" applyBorder="1" applyAlignment="1">
      <alignment horizontal="right"/>
    </xf>
    <xf numFmtId="164" fontId="11" fillId="3" borderId="6" xfId="0" applyNumberFormat="1" applyFont="1" applyFill="1" applyBorder="1" applyAlignment="1">
      <alignment horizontal="right" vertical="center"/>
    </xf>
    <xf numFmtId="164" fontId="11" fillId="3" borderId="6" xfId="0" applyNumberFormat="1" applyFont="1" applyFill="1" applyBorder="1" applyAlignment="1">
      <alignment horizontal="right"/>
    </xf>
    <xf numFmtId="164" fontId="8" fillId="3" borderId="0" xfId="0" applyNumberFormat="1" applyFont="1" applyFill="1"/>
    <xf numFmtId="0" fontId="0" fillId="3" borderId="0" xfId="0" applyFill="1"/>
    <xf numFmtId="164" fontId="11" fillId="3" borderId="0" xfId="0" applyNumberFormat="1" applyFont="1" applyFill="1"/>
    <xf numFmtId="0" fontId="12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3" borderId="2" xfId="0" applyFont="1" applyFill="1" applyBorder="1" applyAlignment="1">
      <alignment horizontal="center" vertical="center"/>
    </xf>
    <xf numFmtId="0" fontId="8" fillId="3" borderId="3" xfId="0" applyFont="1" applyFill="1" applyBorder="1"/>
    <xf numFmtId="2" fontId="8" fillId="4" borderId="4" xfId="0" applyNumberFormat="1" applyFont="1" applyFill="1" applyBorder="1" applyAlignment="1" applyProtection="1">
      <alignment horizontal="center"/>
      <protection locked="0"/>
    </xf>
    <xf numFmtId="164" fontId="8" fillId="3" borderId="3" xfId="0" applyNumberFormat="1" applyFont="1" applyFill="1" applyBorder="1" applyAlignment="1">
      <alignment horizontal="right"/>
    </xf>
    <xf numFmtId="2" fontId="8" fillId="3" borderId="2" xfId="0" applyNumberFormat="1" applyFont="1" applyFill="1" applyBorder="1" applyAlignment="1">
      <alignment horizontal="right" vertical="center"/>
    </xf>
    <xf numFmtId="164" fontId="13" fillId="3" borderId="5" xfId="0" applyNumberFormat="1" applyFont="1" applyFill="1" applyBorder="1" applyAlignment="1">
      <alignment horizontal="right" wrapText="1"/>
    </xf>
    <xf numFmtId="1" fontId="8" fillId="4" borderId="2" xfId="0" applyNumberFormat="1" applyFont="1" applyFill="1" applyBorder="1" applyAlignment="1" applyProtection="1">
      <alignment horizontal="right"/>
      <protection locked="0"/>
    </xf>
    <xf numFmtId="4" fontId="8" fillId="3" borderId="2" xfId="0" applyNumberFormat="1" applyFont="1" applyFill="1" applyBorder="1"/>
    <xf numFmtId="0" fontId="8" fillId="3" borderId="2" xfId="0" applyFont="1" applyFill="1" applyBorder="1" applyProtection="1">
      <protection locked="0"/>
    </xf>
    <xf numFmtId="3" fontId="8" fillId="4" borderId="2" xfId="0" applyNumberFormat="1" applyFont="1" applyFill="1" applyBorder="1" applyProtection="1">
      <protection locked="0"/>
    </xf>
    <xf numFmtId="9" fontId="8" fillId="4" borderId="2" xfId="0" applyNumberFormat="1" applyFont="1" applyFill="1" applyBorder="1" applyProtection="1">
      <protection locked="0"/>
    </xf>
    <xf numFmtId="0" fontId="8" fillId="3" borderId="7" xfId="0" applyFont="1" applyFill="1" applyBorder="1"/>
    <xf numFmtId="164" fontId="8" fillId="3" borderId="3" xfId="0" applyNumberFormat="1" applyFont="1" applyFill="1" applyBorder="1"/>
    <xf numFmtId="164" fontId="11" fillId="3" borderId="3" xfId="0" applyNumberFormat="1" applyFont="1" applyFill="1" applyBorder="1" applyAlignment="1">
      <alignment vertical="center"/>
    </xf>
    <xf numFmtId="164" fontId="11" fillId="3" borderId="3" xfId="0" applyNumberFormat="1" applyFont="1" applyFill="1" applyBorder="1"/>
    <xf numFmtId="0" fontId="0" fillId="5" borderId="8" xfId="0" applyFill="1" applyBorder="1"/>
    <xf numFmtId="164" fontId="8" fillId="3" borderId="9" xfId="0" applyNumberFormat="1" applyFont="1" applyFill="1" applyBorder="1" applyAlignment="1">
      <alignment horizontal="right"/>
    </xf>
    <xf numFmtId="0" fontId="8" fillId="4" borderId="3" xfId="0" applyFont="1" applyFill="1" applyBorder="1" applyProtection="1">
      <protection locked="0"/>
    </xf>
    <xf numFmtId="4" fontId="8" fillId="4" borderId="2" xfId="0" applyNumberFormat="1" applyFont="1" applyFill="1" applyBorder="1" applyProtection="1">
      <protection locked="0"/>
    </xf>
    <xf numFmtId="4" fontId="11" fillId="3" borderId="3" xfId="0" quotePrefix="1" applyNumberFormat="1" applyFont="1" applyFill="1" applyBorder="1" applyAlignment="1">
      <alignment horizontal="center" vertical="center"/>
    </xf>
    <xf numFmtId="164" fontId="8" fillId="4" borderId="4" xfId="0" applyNumberFormat="1" applyFont="1" applyFill="1" applyBorder="1" applyProtection="1">
      <protection locked="0"/>
    </xf>
    <xf numFmtId="164" fontId="3" fillId="3" borderId="9" xfId="0" applyNumberFormat="1" applyFont="1" applyFill="1" applyBorder="1" applyAlignment="1">
      <alignment horizontal="right"/>
    </xf>
    <xf numFmtId="164" fontId="11" fillId="3" borderId="3" xfId="0" applyNumberFormat="1" applyFont="1" applyFill="1" applyBorder="1" applyAlignment="1">
      <alignment horizontal="right"/>
    </xf>
    <xf numFmtId="164" fontId="3" fillId="3" borderId="3" xfId="0" applyNumberFormat="1" applyFont="1" applyFill="1" applyBorder="1" applyAlignment="1">
      <alignment horizontal="right"/>
    </xf>
    <xf numFmtId="0" fontId="16" fillId="6" borderId="0" xfId="0" applyFont="1" applyFill="1" applyAlignment="1">
      <alignment vertical="center" wrapText="1"/>
    </xf>
    <xf numFmtId="0" fontId="15" fillId="6" borderId="0" xfId="0" applyFont="1" applyFill="1" applyAlignment="1">
      <alignment vertical="center"/>
    </xf>
    <xf numFmtId="0" fontId="4" fillId="3" borderId="0" xfId="0" applyFont="1" applyFill="1" applyAlignment="1">
      <alignment horizontal="center"/>
    </xf>
    <xf numFmtId="0" fontId="4" fillId="3" borderId="2" xfId="0" applyFont="1" applyFill="1" applyBorder="1"/>
    <xf numFmtId="0" fontId="12" fillId="3" borderId="10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vertical="center" wrapText="1"/>
    </xf>
    <xf numFmtId="0" fontId="21" fillId="6" borderId="5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/>
    </xf>
    <xf numFmtId="164" fontId="11" fillId="3" borderId="12" xfId="0" applyNumberFormat="1" applyFont="1" applyFill="1" applyBorder="1" applyAlignment="1">
      <alignment horizontal="right"/>
    </xf>
    <xf numFmtId="0" fontId="11" fillId="5" borderId="3" xfId="0" applyFont="1" applyFill="1" applyBorder="1" applyAlignment="1">
      <alignment horizontal="center"/>
    </xf>
    <xf numFmtId="0" fontId="11" fillId="5" borderId="9" xfId="0" applyFont="1" applyFill="1" applyBorder="1" applyAlignment="1">
      <alignment horizontal="center"/>
    </xf>
    <xf numFmtId="7" fontId="8" fillId="3" borderId="2" xfId="1" applyNumberFormat="1" applyFont="1" applyFill="1" applyBorder="1"/>
    <xf numFmtId="2" fontId="8" fillId="3" borderId="2" xfId="0" applyNumberFormat="1" applyFont="1" applyFill="1" applyBorder="1" applyAlignment="1">
      <alignment horizontal="center"/>
    </xf>
    <xf numFmtId="0" fontId="10" fillId="3" borderId="11" xfId="0" applyFont="1" applyFill="1" applyBorder="1" applyAlignment="1">
      <alignment horizontal="left"/>
    </xf>
    <xf numFmtId="0" fontId="12" fillId="3" borderId="3" xfId="0" applyFont="1" applyFill="1" applyBorder="1"/>
    <xf numFmtId="0" fontId="10" fillId="3" borderId="3" xfId="0" applyFont="1" applyFill="1" applyBorder="1" applyAlignment="1">
      <alignment horizontal="center"/>
    </xf>
    <xf numFmtId="164" fontId="11" fillId="3" borderId="13" xfId="0" applyNumberFormat="1" applyFont="1" applyFill="1" applyBorder="1" applyAlignment="1">
      <alignment horizontal="right"/>
    </xf>
    <xf numFmtId="0" fontId="8" fillId="6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 wrapText="1"/>
    </xf>
    <xf numFmtId="4" fontId="8" fillId="4" borderId="3" xfId="0" applyNumberFormat="1" applyFont="1" applyFill="1" applyBorder="1" applyAlignment="1" applyProtection="1">
      <alignment horizontal="right"/>
      <protection locked="0"/>
    </xf>
    <xf numFmtId="164" fontId="8" fillId="3" borderId="2" xfId="0" applyNumberFormat="1" applyFont="1" applyFill="1" applyBorder="1" applyAlignment="1" applyProtection="1">
      <alignment horizontal="right"/>
      <protection locked="0"/>
    </xf>
    <xf numFmtId="3" fontId="14" fillId="6" borderId="14" xfId="0" applyNumberFormat="1" applyFont="1" applyFill="1" applyBorder="1" applyAlignment="1" applyProtection="1">
      <alignment horizontal="center"/>
      <protection locked="0"/>
    </xf>
    <xf numFmtId="3" fontId="25" fillId="6" borderId="14" xfId="0" applyNumberFormat="1" applyFont="1" applyFill="1" applyBorder="1" applyAlignment="1" applyProtection="1">
      <alignment horizontal="center"/>
      <protection locked="0"/>
    </xf>
    <xf numFmtId="0" fontId="12" fillId="3" borderId="3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/>
    </xf>
    <xf numFmtId="7" fontId="8" fillId="3" borderId="2" xfId="1" applyNumberFormat="1" applyFont="1" applyFill="1" applyBorder="1" applyAlignment="1">
      <alignment horizontal="right"/>
    </xf>
    <xf numFmtId="164" fontId="8" fillId="7" borderId="2" xfId="0" applyNumberFormat="1" applyFont="1" applyFill="1" applyBorder="1"/>
    <xf numFmtId="4" fontId="11" fillId="3" borderId="3" xfId="0" quotePrefix="1" applyNumberFormat="1" applyFont="1" applyFill="1" applyBorder="1" applyAlignment="1">
      <alignment horizontal="right" vertical="center"/>
    </xf>
    <xf numFmtId="164" fontId="8" fillId="3" borderId="3" xfId="0" applyNumberFormat="1" applyFont="1" applyFill="1" applyBorder="1" applyAlignment="1">
      <alignment horizontal="right" vertical="center"/>
    </xf>
    <xf numFmtId="164" fontId="12" fillId="8" borderId="2" xfId="0" applyNumberFormat="1" applyFont="1" applyFill="1" applyBorder="1" applyAlignment="1" applyProtection="1">
      <alignment horizontal="center" vertical="center"/>
      <protection locked="0"/>
    </xf>
    <xf numFmtId="164" fontId="30" fillId="8" borderId="2" xfId="0" applyNumberFormat="1" applyFont="1" applyFill="1" applyBorder="1" applyAlignment="1">
      <alignment vertical="center"/>
    </xf>
    <xf numFmtId="164" fontId="31" fillId="8" borderId="2" xfId="0" applyNumberFormat="1" applyFont="1" applyFill="1" applyBorder="1" applyAlignment="1" applyProtection="1">
      <alignment horizontal="center" vertical="center"/>
      <protection locked="0"/>
    </xf>
    <xf numFmtId="164" fontId="32" fillId="8" borderId="2" xfId="0" applyNumberFormat="1" applyFont="1" applyFill="1" applyBorder="1" applyAlignment="1" applyProtection="1">
      <alignment horizontal="center" vertical="center"/>
      <protection locked="0"/>
    </xf>
    <xf numFmtId="164" fontId="8" fillId="3" borderId="3" xfId="0" applyNumberFormat="1" applyFont="1" applyFill="1" applyBorder="1" applyAlignment="1">
      <alignment vertical="center"/>
    </xf>
    <xf numFmtId="0" fontId="8" fillId="3" borderId="0" xfId="3" applyFont="1" applyFill="1"/>
    <xf numFmtId="0" fontId="26" fillId="0" borderId="0" xfId="3" applyAlignment="1">
      <alignment horizontal="center"/>
    </xf>
    <xf numFmtId="0" fontId="26" fillId="0" borderId="0" xfId="3"/>
    <xf numFmtId="0" fontId="26" fillId="4" borderId="0" xfId="3" applyFill="1"/>
    <xf numFmtId="0" fontId="8" fillId="3" borderId="2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vertical="center"/>
    </xf>
    <xf numFmtId="0" fontId="26" fillId="4" borderId="2" xfId="3" applyFill="1" applyBorder="1"/>
    <xf numFmtId="0" fontId="5" fillId="0" borderId="0" xfId="3" applyFont="1" applyAlignment="1">
      <alignment horizontal="center" vertical="center"/>
    </xf>
    <xf numFmtId="0" fontId="8" fillId="9" borderId="2" xfId="3" applyFont="1" applyFill="1" applyBorder="1"/>
    <xf numFmtId="0" fontId="8" fillId="3" borderId="2" xfId="3" applyFont="1" applyFill="1" applyBorder="1"/>
    <xf numFmtId="164" fontId="8" fillId="3" borderId="2" xfId="3" applyNumberFormat="1" applyFont="1" applyFill="1" applyBorder="1"/>
    <xf numFmtId="2" fontId="8" fillId="3" borderId="2" xfId="3" applyNumberFormat="1" applyFont="1" applyFill="1" applyBorder="1" applyAlignment="1">
      <alignment horizontal="center"/>
    </xf>
    <xf numFmtId="164" fontId="8" fillId="3" borderId="2" xfId="3" applyNumberFormat="1" applyFont="1" applyFill="1" applyBorder="1" applyAlignment="1">
      <alignment horizontal="right"/>
    </xf>
    <xf numFmtId="0" fontId="8" fillId="9" borderId="2" xfId="3" applyFont="1" applyFill="1" applyBorder="1" applyAlignment="1">
      <alignment vertical="center"/>
    </xf>
    <xf numFmtId="164" fontId="8" fillId="3" borderId="2" xfId="0" applyNumberFormat="1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164" fontId="10" fillId="3" borderId="3" xfId="0" applyNumberFormat="1" applyFont="1" applyFill="1" applyBorder="1" applyAlignment="1">
      <alignment vertical="center"/>
    </xf>
    <xf numFmtId="164" fontId="10" fillId="3" borderId="2" xfId="0" applyNumberFormat="1" applyFont="1" applyFill="1" applyBorder="1" applyAlignment="1">
      <alignment vertical="center"/>
    </xf>
    <xf numFmtId="0" fontId="10" fillId="3" borderId="3" xfId="0" applyFont="1" applyFill="1" applyBorder="1"/>
    <xf numFmtId="0" fontId="8" fillId="3" borderId="15" xfId="0" applyFont="1" applyFill="1" applyBorder="1"/>
    <xf numFmtId="0" fontId="8" fillId="3" borderId="16" xfId="0" applyFont="1" applyFill="1" applyBorder="1"/>
    <xf numFmtId="0" fontId="8" fillId="3" borderId="11" xfId="0" applyFont="1" applyFill="1" applyBorder="1"/>
    <xf numFmtId="0" fontId="8" fillId="3" borderId="8" xfId="0" applyFont="1" applyFill="1" applyBorder="1"/>
    <xf numFmtId="164" fontId="12" fillId="3" borderId="2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/>
    </xf>
    <xf numFmtId="4" fontId="8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2" fontId="8" fillId="4" borderId="2" xfId="1" applyNumberFormat="1" applyFont="1" applyFill="1" applyBorder="1" applyProtection="1">
      <protection locked="0"/>
    </xf>
    <xf numFmtId="164" fontId="8" fillId="4" borderId="2" xfId="1" applyNumberFormat="1" applyFont="1" applyFill="1" applyBorder="1" applyAlignment="1" applyProtection="1">
      <alignment horizontal="right"/>
      <protection locked="0"/>
    </xf>
    <xf numFmtId="44" fontId="8" fillId="4" borderId="2" xfId="1" applyFont="1" applyFill="1" applyBorder="1" applyProtection="1">
      <protection locked="0"/>
    </xf>
    <xf numFmtId="44" fontId="8" fillId="4" borderId="2" xfId="1" applyFont="1" applyFill="1" applyBorder="1" applyAlignment="1" applyProtection="1">
      <alignment horizontal="center"/>
      <protection locked="0"/>
    </xf>
    <xf numFmtId="4" fontId="8" fillId="4" borderId="3" xfId="0" quotePrefix="1" applyNumberFormat="1" applyFont="1" applyFill="1" applyBorder="1" applyAlignment="1" applyProtection="1">
      <alignment horizontal="right"/>
      <protection locked="0"/>
    </xf>
    <xf numFmtId="9" fontId="3" fillId="10" borderId="0" xfId="3" applyNumberFormat="1" applyFont="1" applyFill="1" applyAlignment="1">
      <alignment horizontal="center" vertical="center"/>
    </xf>
    <xf numFmtId="0" fontId="18" fillId="0" borderId="0" xfId="3" applyFont="1"/>
    <xf numFmtId="0" fontId="18" fillId="0" borderId="0" xfId="0" applyFont="1"/>
    <xf numFmtId="44" fontId="0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9" fontId="26" fillId="0" borderId="0" xfId="3" applyNumberFormat="1"/>
    <xf numFmtId="9" fontId="18" fillId="0" borderId="0" xfId="5" applyFont="1"/>
    <xf numFmtId="9" fontId="33" fillId="10" borderId="0" xfId="3" applyNumberFormat="1" applyFont="1" applyFill="1" applyAlignment="1">
      <alignment horizontal="center" vertical="center"/>
    </xf>
    <xf numFmtId="0" fontId="3" fillId="0" borderId="0" xfId="3" applyFont="1" applyAlignment="1">
      <alignment horizontal="center"/>
    </xf>
    <xf numFmtId="0" fontId="3" fillId="0" borderId="0" xfId="3" applyFont="1"/>
    <xf numFmtId="44" fontId="26" fillId="0" borderId="0" xfId="1" applyFont="1"/>
    <xf numFmtId="44" fontId="5" fillId="0" borderId="0" xfId="1" applyFont="1" applyAlignment="1">
      <alignment horizontal="center" vertical="center"/>
    </xf>
    <xf numFmtId="9" fontId="33" fillId="11" borderId="0" xfId="3" applyNumberFormat="1" applyFont="1" applyFill="1" applyAlignment="1">
      <alignment horizontal="center" vertical="center"/>
    </xf>
    <xf numFmtId="49" fontId="3" fillId="0" borderId="0" xfId="1" applyNumberFormat="1" applyFont="1" applyFill="1"/>
    <xf numFmtId="0" fontId="18" fillId="0" borderId="0" xfId="3" applyFont="1" applyAlignment="1">
      <alignment horizontal="center"/>
    </xf>
    <xf numFmtId="44" fontId="18" fillId="0" borderId="0" xfId="1" applyFont="1" applyFill="1" applyAlignment="1">
      <alignment wrapText="1"/>
    </xf>
    <xf numFmtId="44" fontId="18" fillId="0" borderId="0" xfId="1" applyFont="1" applyFill="1"/>
    <xf numFmtId="9" fontId="18" fillId="0" borderId="0" xfId="3" applyNumberFormat="1" applyFont="1" applyAlignment="1">
      <alignment horizontal="center"/>
    </xf>
    <xf numFmtId="3" fontId="18" fillId="0" borderId="0" xfId="3" applyNumberFormat="1" applyFont="1"/>
    <xf numFmtId="9" fontId="18" fillId="0" borderId="0" xfId="1" applyNumberFormat="1" applyFont="1" applyFill="1"/>
    <xf numFmtId="0" fontId="28" fillId="12" borderId="0" xfId="0" applyFont="1" applyFill="1" applyAlignment="1">
      <alignment vertical="center" wrapText="1"/>
    </xf>
    <xf numFmtId="0" fontId="28" fillId="12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0" fillId="13" borderId="0" xfId="0" applyFill="1"/>
    <xf numFmtId="0" fontId="8" fillId="13" borderId="0" xfId="0" applyFont="1" applyFill="1"/>
    <xf numFmtId="0" fontId="17" fillId="13" borderId="0" xfId="0" applyFont="1" applyFill="1"/>
    <xf numFmtId="0" fontId="0" fillId="13" borderId="0" xfId="0" applyFill="1" applyAlignment="1">
      <alignment vertical="center" wrapText="1"/>
    </xf>
    <xf numFmtId="164" fontId="8" fillId="8" borderId="2" xfId="0" applyNumberFormat="1" applyFont="1" applyFill="1" applyBorder="1" applyAlignment="1">
      <alignment horizontal="right"/>
    </xf>
    <xf numFmtId="2" fontId="3" fillId="8" borderId="2" xfId="0" applyNumberFormat="1" applyFont="1" applyFill="1" applyBorder="1" applyAlignment="1">
      <alignment horizontal="right" vertical="center"/>
    </xf>
    <xf numFmtId="164" fontId="3" fillId="8" borderId="2" xfId="0" applyNumberFormat="1" applyFont="1" applyFill="1" applyBorder="1" applyAlignment="1">
      <alignment horizontal="right" vertical="center"/>
    </xf>
    <xf numFmtId="0" fontId="28" fillId="8" borderId="2" xfId="0" applyFont="1" applyFill="1" applyBorder="1" applyAlignment="1">
      <alignment horizontal="center" vertical="center" wrapText="1"/>
    </xf>
    <xf numFmtId="0" fontId="28" fillId="12" borderId="2" xfId="0" applyFont="1" applyFill="1" applyBorder="1" applyAlignment="1">
      <alignment horizontal="center" vertical="center" wrapText="1"/>
    </xf>
    <xf numFmtId="0" fontId="7" fillId="0" borderId="0" xfId="0" applyFont="1"/>
    <xf numFmtId="165" fontId="8" fillId="3" borderId="2" xfId="0" applyNumberFormat="1" applyFont="1" applyFill="1" applyBorder="1" applyAlignment="1">
      <alignment horizontal="right"/>
    </xf>
    <xf numFmtId="0" fontId="29" fillId="14" borderId="17" xfId="0" applyFont="1" applyFill="1" applyBorder="1" applyAlignment="1" applyProtection="1">
      <alignment vertical="center"/>
      <protection locked="0"/>
    </xf>
    <xf numFmtId="44" fontId="26" fillId="0" borderId="0" xfId="1" applyFont="1" applyFill="1"/>
    <xf numFmtId="2" fontId="26" fillId="0" borderId="0" xfId="3" applyNumberFormat="1"/>
    <xf numFmtId="166" fontId="26" fillId="0" borderId="0" xfId="3" applyNumberFormat="1" applyAlignment="1">
      <alignment horizontal="center"/>
    </xf>
    <xf numFmtId="43" fontId="26" fillId="0" borderId="0" xfId="3" applyNumberFormat="1" applyAlignment="1">
      <alignment horizontal="center"/>
    </xf>
    <xf numFmtId="0" fontId="21" fillId="6" borderId="0" xfId="0" applyFont="1" applyFill="1" applyAlignment="1">
      <alignment horizontal="left" vertical="center" wrapText="1"/>
    </xf>
    <xf numFmtId="0" fontId="8" fillId="0" borderId="2" xfId="0" applyFont="1" applyBorder="1" applyProtection="1">
      <protection locked="0"/>
    </xf>
    <xf numFmtId="44" fontId="8" fillId="4" borderId="2" xfId="1" applyFont="1" applyFill="1" applyBorder="1" applyAlignment="1" applyProtection="1">
      <alignment horizontal="right"/>
      <protection locked="0"/>
    </xf>
    <xf numFmtId="0" fontId="28" fillId="1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13" borderId="16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12" fillId="3" borderId="3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12" fillId="13" borderId="9" xfId="0" applyFont="1" applyFill="1" applyBorder="1" applyAlignment="1">
      <alignment horizontal="center" vertical="center" wrapText="1"/>
    </xf>
    <xf numFmtId="0" fontId="12" fillId="15" borderId="1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/>
    </xf>
    <xf numFmtId="0" fontId="12" fillId="3" borderId="9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left"/>
    </xf>
    <xf numFmtId="164" fontId="11" fillId="3" borderId="12" xfId="0" applyNumberFormat="1" applyFont="1" applyFill="1" applyBorder="1" applyAlignment="1">
      <alignment horizontal="right"/>
    </xf>
    <xf numFmtId="164" fontId="11" fillId="3" borderId="18" xfId="0" applyNumberFormat="1" applyFont="1" applyFill="1" applyBorder="1" applyAlignment="1">
      <alignment horizontal="right"/>
    </xf>
    <xf numFmtId="164" fontId="11" fillId="3" borderId="12" xfId="0" applyNumberFormat="1" applyFont="1" applyFill="1" applyBorder="1" applyAlignment="1">
      <alignment horizontal="right" vertical="center"/>
    </xf>
    <xf numFmtId="164" fontId="11" fillId="3" borderId="18" xfId="0" applyNumberFormat="1" applyFont="1" applyFill="1" applyBorder="1" applyAlignment="1">
      <alignment horizontal="right" vertical="center"/>
    </xf>
    <xf numFmtId="0" fontId="12" fillId="13" borderId="11" xfId="0" applyFont="1" applyFill="1" applyBorder="1" applyAlignment="1">
      <alignment horizontal="center" vertical="center" wrapText="1"/>
    </xf>
    <xf numFmtId="0" fontId="28" fillId="12" borderId="0" xfId="0" applyFont="1" applyFill="1" applyAlignment="1">
      <alignment vertical="center" wrapText="1"/>
    </xf>
    <xf numFmtId="0" fontId="11" fillId="3" borderId="13" xfId="0" applyFont="1" applyFill="1" applyBorder="1" applyAlignment="1">
      <alignment horizontal="left" wrapText="1"/>
    </xf>
    <xf numFmtId="0" fontId="11" fillId="3" borderId="7" xfId="0" applyFont="1" applyFill="1" applyBorder="1" applyAlignment="1">
      <alignment horizontal="left" wrapText="1"/>
    </xf>
    <xf numFmtId="0" fontId="11" fillId="3" borderId="15" xfId="0" applyFont="1" applyFill="1" applyBorder="1" applyAlignment="1">
      <alignment horizontal="left" wrapText="1"/>
    </xf>
    <xf numFmtId="0" fontId="11" fillId="3" borderId="10" xfId="0" applyFont="1" applyFill="1" applyBorder="1" applyAlignment="1">
      <alignment horizontal="left" wrapText="1"/>
    </xf>
    <xf numFmtId="0" fontId="11" fillId="3" borderId="11" xfId="0" applyFont="1" applyFill="1" applyBorder="1" applyAlignment="1">
      <alignment horizontal="left" wrapText="1"/>
    </xf>
    <xf numFmtId="0" fontId="11" fillId="3" borderId="8" xfId="0" applyFont="1" applyFill="1" applyBorder="1" applyAlignment="1">
      <alignment horizontal="left" wrapText="1"/>
    </xf>
    <xf numFmtId="0" fontId="20" fillId="8" borderId="13" xfId="0" applyFont="1" applyFill="1" applyBorder="1" applyAlignment="1">
      <alignment horizontal="center" vertical="center"/>
    </xf>
    <xf numFmtId="0" fontId="20" fillId="8" borderId="7" xfId="0" applyFont="1" applyFill="1" applyBorder="1" applyAlignment="1">
      <alignment horizontal="center" vertical="center"/>
    </xf>
    <xf numFmtId="0" fontId="20" fillId="8" borderId="15" xfId="0" applyFont="1" applyFill="1" applyBorder="1" applyAlignment="1">
      <alignment horizontal="center" vertical="center"/>
    </xf>
    <xf numFmtId="0" fontId="20" fillId="8" borderId="10" xfId="0" applyFont="1" applyFill="1" applyBorder="1" applyAlignment="1">
      <alignment horizontal="center" vertical="center"/>
    </xf>
    <xf numFmtId="0" fontId="20" fillId="8" borderId="11" xfId="0" applyFont="1" applyFill="1" applyBorder="1" applyAlignment="1">
      <alignment horizontal="center" vertical="center"/>
    </xf>
    <xf numFmtId="0" fontId="20" fillId="8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left"/>
    </xf>
    <xf numFmtId="0" fontId="12" fillId="3" borderId="7" xfId="0" applyFont="1" applyFill="1" applyBorder="1" applyAlignment="1">
      <alignment horizontal="left"/>
    </xf>
    <xf numFmtId="0" fontId="12" fillId="3" borderId="15" xfId="0" applyFont="1" applyFill="1" applyBorder="1" applyAlignment="1">
      <alignment horizontal="left"/>
    </xf>
    <xf numFmtId="0" fontId="2" fillId="5" borderId="11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11" fillId="3" borderId="9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left"/>
    </xf>
    <xf numFmtId="0" fontId="4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8" fillId="5" borderId="9" xfId="0" applyFont="1" applyFill="1" applyBorder="1" applyAlignment="1">
      <alignment horizontal="center"/>
    </xf>
    <xf numFmtId="164" fontId="8" fillId="5" borderId="9" xfId="0" applyNumberFormat="1" applyFont="1" applyFill="1" applyBorder="1" applyAlignment="1">
      <alignment horizontal="center"/>
    </xf>
    <xf numFmtId="0" fontId="20" fillId="6" borderId="0" xfId="0" applyFont="1" applyFill="1" applyAlignment="1">
      <alignment horizontal="left" vertical="center"/>
    </xf>
    <xf numFmtId="0" fontId="22" fillId="6" borderId="19" xfId="0" applyFont="1" applyFill="1" applyBorder="1" applyAlignment="1">
      <alignment horizontal="left" vertical="center"/>
    </xf>
    <xf numFmtId="0" fontId="22" fillId="6" borderId="11" xfId="0" applyFont="1" applyFill="1" applyBorder="1" applyAlignment="1">
      <alignment horizontal="left" vertical="center"/>
    </xf>
    <xf numFmtId="0" fontId="21" fillId="6" borderId="0" xfId="0" applyFont="1" applyFill="1" applyAlignment="1">
      <alignment horizontal="left" vertical="center" wrapText="1"/>
    </xf>
    <xf numFmtId="0" fontId="0" fillId="5" borderId="9" xfId="0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2" fillId="3" borderId="13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wrapText="1"/>
    </xf>
    <xf numFmtId="0" fontId="13" fillId="3" borderId="5" xfId="0" applyFont="1" applyFill="1" applyBorder="1" applyAlignment="1">
      <alignment vertical="center" wrapText="1"/>
    </xf>
    <xf numFmtId="0" fontId="13" fillId="3" borderId="0" xfId="0" applyFont="1" applyFill="1" applyAlignment="1">
      <alignment wrapText="1"/>
    </xf>
    <xf numFmtId="0" fontId="20" fillId="6" borderId="0" xfId="0" applyFont="1" applyFill="1" applyAlignment="1">
      <alignment horizontal="left" vertical="center" wrapText="1"/>
    </xf>
    <xf numFmtId="0" fontId="0" fillId="5" borderId="4" xfId="0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9" xfId="0" applyFont="1" applyFill="1" applyBorder="1" applyAlignment="1">
      <alignment horizontal="center"/>
    </xf>
    <xf numFmtId="0" fontId="12" fillId="3" borderId="12" xfId="0" applyFont="1" applyFill="1" applyBorder="1" applyAlignment="1">
      <alignment vertical="center" wrapText="1"/>
    </xf>
    <xf numFmtId="0" fontId="13" fillId="3" borderId="18" xfId="0" applyFont="1" applyFill="1" applyBorder="1" applyAlignment="1">
      <alignment vertical="center" wrapText="1"/>
    </xf>
    <xf numFmtId="0" fontId="12" fillId="3" borderId="12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vertical="center"/>
    </xf>
    <xf numFmtId="0" fontId="0" fillId="5" borderId="3" xfId="0" applyFill="1" applyBorder="1" applyAlignment="1">
      <alignment horizontal="center"/>
    </xf>
    <xf numFmtId="0" fontId="8" fillId="3" borderId="3" xfId="0" applyFont="1" applyFill="1" applyBorder="1" applyAlignment="1">
      <alignment horizontal="left"/>
    </xf>
    <xf numFmtId="0" fontId="8" fillId="3" borderId="9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12" fillId="5" borderId="9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vertical="center"/>
    </xf>
    <xf numFmtId="0" fontId="13" fillId="3" borderId="11" xfId="0" applyFont="1" applyFill="1" applyBorder="1" applyAlignment="1">
      <alignment vertical="center"/>
    </xf>
    <xf numFmtId="0" fontId="13" fillId="3" borderId="8" xfId="0" applyFont="1" applyFill="1" applyBorder="1" applyAlignment="1">
      <alignment vertical="center"/>
    </xf>
    <xf numFmtId="0" fontId="13" fillId="3" borderId="18" xfId="0" applyFont="1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164" fontId="11" fillId="3" borderId="3" xfId="0" applyNumberFormat="1" applyFont="1" applyFill="1" applyBorder="1" applyAlignment="1">
      <alignment horizontal="left"/>
    </xf>
    <xf numFmtId="164" fontId="11" fillId="3" borderId="4" xfId="0" applyNumberFormat="1" applyFont="1" applyFill="1" applyBorder="1" applyAlignment="1">
      <alignment horizontal="left"/>
    </xf>
    <xf numFmtId="0" fontId="12" fillId="3" borderId="3" xfId="0" applyFont="1" applyFill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21" fillId="6" borderId="5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/>
    </xf>
    <xf numFmtId="0" fontId="10" fillId="3" borderId="9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left" vertical="center" wrapText="1"/>
    </xf>
    <xf numFmtId="164" fontId="11" fillId="3" borderId="3" xfId="0" applyNumberFormat="1" applyFont="1" applyFill="1" applyBorder="1" applyAlignment="1">
      <alignment horizontal="center"/>
    </xf>
    <xf numFmtId="164" fontId="11" fillId="3" borderId="4" xfId="0" applyNumberFormat="1" applyFont="1" applyFill="1" applyBorder="1" applyAlignment="1">
      <alignment horizontal="center"/>
    </xf>
    <xf numFmtId="0" fontId="6" fillId="3" borderId="18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164" fontId="11" fillId="3" borderId="13" xfId="0" applyNumberFormat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9" fillId="3" borderId="11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0" fillId="0" borderId="0" xfId="0" applyAlignment="1">
      <alignment wrapText="1"/>
    </xf>
    <xf numFmtId="164" fontId="12" fillId="13" borderId="2" xfId="0" applyNumberFormat="1" applyFont="1" applyFill="1" applyBorder="1" applyAlignment="1" applyProtection="1">
      <alignment horizontal="center" vertical="center"/>
      <protection locked="0"/>
    </xf>
    <xf numFmtId="0" fontId="0" fillId="13" borderId="2" xfId="0" applyFill="1" applyBorder="1" applyAlignment="1" applyProtection="1">
      <alignment vertical="center"/>
      <protection locked="0"/>
    </xf>
    <xf numFmtId="0" fontId="13" fillId="3" borderId="11" xfId="0" applyFont="1" applyFill="1" applyBorder="1" applyAlignment="1">
      <alignment horizontal="left" vertical="center"/>
    </xf>
    <xf numFmtId="0" fontId="13" fillId="3" borderId="8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horizontal="left" vertical="center"/>
    </xf>
    <xf numFmtId="0" fontId="12" fillId="3" borderId="18" xfId="0" applyFont="1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 wrapText="1"/>
    </xf>
    <xf numFmtId="0" fontId="12" fillId="3" borderId="9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0" fontId="12" fillId="3" borderId="18" xfId="0" applyFont="1" applyFill="1" applyBorder="1" applyAlignment="1">
      <alignment vertical="center" wrapText="1"/>
    </xf>
    <xf numFmtId="0" fontId="12" fillId="3" borderId="12" xfId="0" applyFont="1" applyFill="1" applyBorder="1" applyAlignment="1">
      <alignment horizontal="center" vertical="center" wrapText="1" shrinkToFit="1"/>
    </xf>
    <xf numFmtId="0" fontId="12" fillId="3" borderId="18" xfId="0" applyFont="1" applyFill="1" applyBorder="1" applyAlignment="1">
      <alignment horizontal="center" vertical="center" wrapText="1" shrinkToFit="1"/>
    </xf>
    <xf numFmtId="0" fontId="12" fillId="3" borderId="7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vertical="center" wrapText="1"/>
    </xf>
    <xf numFmtId="0" fontId="0" fillId="3" borderId="18" xfId="0" applyFill="1" applyBorder="1" applyAlignment="1">
      <alignment vertical="center" wrapText="1"/>
    </xf>
    <xf numFmtId="0" fontId="0" fillId="3" borderId="18" xfId="0" applyFill="1" applyBorder="1" applyAlignment="1">
      <alignment horizontal="left" vertical="center" wrapText="1"/>
    </xf>
    <xf numFmtId="0" fontId="0" fillId="3" borderId="10" xfId="0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5" borderId="11" xfId="0" applyFill="1" applyBorder="1" applyAlignment="1">
      <alignment horizontal="center"/>
    </xf>
    <xf numFmtId="0" fontId="12" fillId="3" borderId="13" xfId="0" applyFont="1" applyFill="1" applyBorder="1" applyAlignment="1">
      <alignment vertical="center" wrapText="1"/>
    </xf>
    <xf numFmtId="0" fontId="13" fillId="3" borderId="7" xfId="0" applyFont="1" applyFill="1" applyBorder="1" applyAlignment="1">
      <alignment vertical="center" wrapText="1"/>
    </xf>
    <xf numFmtId="0" fontId="13" fillId="3" borderId="15" xfId="0" applyFont="1" applyFill="1" applyBorder="1" applyAlignment="1">
      <alignment vertical="center" wrapText="1"/>
    </xf>
    <xf numFmtId="0" fontId="13" fillId="3" borderId="10" xfId="0" applyFont="1" applyFill="1" applyBorder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3" fillId="3" borderId="11" xfId="0" applyFont="1" applyFill="1" applyBorder="1" applyAlignment="1">
      <alignment vertical="center" wrapText="1"/>
    </xf>
    <xf numFmtId="0" fontId="13" fillId="3" borderId="8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164" fontId="10" fillId="3" borderId="3" xfId="0" applyNumberFormat="1" applyFont="1" applyFill="1" applyBorder="1" applyAlignment="1">
      <alignment horizontal="right" vertical="center"/>
    </xf>
    <xf numFmtId="164" fontId="10" fillId="3" borderId="9" xfId="0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0" fillId="5" borderId="9" xfId="0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 vertical="center" wrapText="1"/>
    </xf>
    <xf numFmtId="2" fontId="8" fillId="3" borderId="12" xfId="0" applyNumberFormat="1" applyFont="1" applyFill="1" applyBorder="1" applyAlignment="1">
      <alignment horizontal="center" vertical="center"/>
    </xf>
    <xf numFmtId="2" fontId="0" fillId="0" borderId="18" xfId="0" applyNumberFormat="1" applyBorder="1" applyAlignment="1">
      <alignment vertical="center"/>
    </xf>
    <xf numFmtId="0" fontId="0" fillId="5" borderId="7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10" fillId="3" borderId="7" xfId="0" applyFont="1" applyFill="1" applyBorder="1" applyAlignment="1">
      <alignment horizontal="left" wrapText="1"/>
    </xf>
    <xf numFmtId="0" fontId="10" fillId="3" borderId="15" xfId="0" applyFont="1" applyFill="1" applyBorder="1" applyAlignment="1">
      <alignment horizontal="left" wrapText="1"/>
    </xf>
    <xf numFmtId="0" fontId="10" fillId="3" borderId="11" xfId="0" applyFont="1" applyFill="1" applyBorder="1" applyAlignment="1">
      <alignment horizontal="left" wrapText="1"/>
    </xf>
    <xf numFmtId="0" fontId="10" fillId="3" borderId="8" xfId="0" applyFont="1" applyFill="1" applyBorder="1" applyAlignment="1">
      <alignment horizontal="left" wrapText="1"/>
    </xf>
    <xf numFmtId="0" fontId="0" fillId="5" borderId="0" xfId="0" applyFill="1" applyAlignment="1">
      <alignment horizontal="center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64" fontId="12" fillId="3" borderId="3" xfId="0" applyNumberFormat="1" applyFont="1" applyFill="1" applyBorder="1" applyAlignment="1">
      <alignment horizontal="left" vertical="center"/>
    </xf>
    <xf numFmtId="164" fontId="12" fillId="3" borderId="9" xfId="0" applyNumberFormat="1" applyFont="1" applyFill="1" applyBorder="1" applyAlignment="1">
      <alignment horizontal="left" vertical="center"/>
    </xf>
    <xf numFmtId="164" fontId="12" fillId="3" borderId="4" xfId="0" applyNumberFormat="1" applyFont="1" applyFill="1" applyBorder="1" applyAlignment="1">
      <alignment horizontal="left" vertical="center"/>
    </xf>
    <xf numFmtId="164" fontId="12" fillId="3" borderId="3" xfId="0" applyNumberFormat="1" applyFont="1" applyFill="1" applyBorder="1" applyAlignment="1">
      <alignment horizontal="left" vertical="center" wrapText="1"/>
    </xf>
    <xf numFmtId="164" fontId="12" fillId="3" borderId="9" xfId="0" applyNumberFormat="1" applyFont="1" applyFill="1" applyBorder="1" applyAlignment="1">
      <alignment horizontal="left" vertical="center" wrapText="1"/>
    </xf>
    <xf numFmtId="164" fontId="12" fillId="3" borderId="4" xfId="0" applyNumberFormat="1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12" fillId="5" borderId="16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164" fontId="12" fillId="3" borderId="3" xfId="0" applyNumberFormat="1" applyFont="1" applyFill="1" applyBorder="1" applyAlignment="1">
      <alignment horizontal="left"/>
    </xf>
    <xf numFmtId="164" fontId="12" fillId="3" borderId="9" xfId="0" applyNumberFormat="1" applyFont="1" applyFill="1" applyBorder="1" applyAlignment="1">
      <alignment horizontal="left"/>
    </xf>
    <xf numFmtId="164" fontId="12" fillId="3" borderId="4" xfId="0" applyNumberFormat="1" applyFont="1" applyFill="1" applyBorder="1" applyAlignment="1">
      <alignment horizontal="left"/>
    </xf>
    <xf numFmtId="0" fontId="3" fillId="0" borderId="0" xfId="1" applyNumberFormat="1" applyFont="1" applyAlignment="1">
      <alignment horizontal="center"/>
    </xf>
    <xf numFmtId="0" fontId="2" fillId="4" borderId="0" xfId="0" applyFont="1" applyFill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6" fillId="4" borderId="0" xfId="3" applyFill="1" applyAlignment="1">
      <alignment horizontal="center"/>
    </xf>
    <xf numFmtId="0" fontId="3" fillId="4" borderId="2" xfId="3" applyFont="1" applyFill="1" applyBorder="1" applyAlignment="1">
      <alignment horizontal="center"/>
    </xf>
    <xf numFmtId="0" fontId="8" fillId="9" borderId="2" xfId="3" applyFont="1" applyFill="1" applyBorder="1" applyAlignment="1">
      <alignment horizontal="left" vertical="center"/>
    </xf>
    <xf numFmtId="0" fontId="8" fillId="3" borderId="12" xfId="3" applyFont="1" applyFill="1" applyBorder="1" applyAlignment="1">
      <alignment horizontal="center"/>
    </xf>
    <xf numFmtId="0" fontId="8" fillId="3" borderId="6" xfId="3" applyFont="1" applyFill="1" applyBorder="1" applyAlignment="1">
      <alignment horizontal="center"/>
    </xf>
    <xf numFmtId="0" fontId="8" fillId="3" borderId="18" xfId="3" applyFont="1" applyFill="1" applyBorder="1" applyAlignment="1">
      <alignment horizontal="center"/>
    </xf>
    <xf numFmtId="0" fontId="8" fillId="3" borderId="2" xfId="3" applyFont="1" applyFill="1" applyBorder="1" applyAlignment="1">
      <alignment horizontal="center"/>
    </xf>
    <xf numFmtId="0" fontId="26" fillId="4" borderId="2" xfId="3" applyFill="1" applyBorder="1" applyAlignment="1">
      <alignment horizontal="center"/>
    </xf>
    <xf numFmtId="0" fontId="4" fillId="3" borderId="0" xfId="3" applyFont="1" applyFill="1" applyAlignment="1">
      <alignment horizontal="left" vertical="center"/>
    </xf>
    <xf numFmtId="0" fontId="2" fillId="4" borderId="0" xfId="3" applyFont="1" applyFill="1" applyAlignment="1">
      <alignment horizontal="center"/>
    </xf>
    <xf numFmtId="0" fontId="26" fillId="0" borderId="0" xfId="3" applyAlignment="1">
      <alignment horizontal="center"/>
    </xf>
    <xf numFmtId="0" fontId="4" fillId="4" borderId="0" xfId="3" applyFont="1" applyFill="1" applyAlignment="1">
      <alignment horizontal="center"/>
    </xf>
    <xf numFmtId="0" fontId="27" fillId="0" borderId="0" xfId="3" applyFont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center" vertical="center"/>
    </xf>
    <xf numFmtId="0" fontId="8" fillId="3" borderId="4" xfId="3" applyFont="1" applyFill="1" applyBorder="1" applyAlignment="1">
      <alignment horizontal="center" vertical="center"/>
    </xf>
    <xf numFmtId="0" fontId="27" fillId="0" borderId="0" xfId="3" applyFont="1" applyAlignment="1">
      <alignment horizontal="center" vertical="center" wrapText="1"/>
    </xf>
    <xf numFmtId="0" fontId="15" fillId="6" borderId="7" xfId="0" applyFont="1" applyFill="1" applyBorder="1" applyAlignment="1">
      <alignment horizontal="left" vertical="center" wrapText="1"/>
    </xf>
    <xf numFmtId="0" fontId="15" fillId="6" borderId="0" xfId="0" applyFont="1" applyFill="1" applyAlignment="1">
      <alignment horizontal="left" vertical="center" wrapText="1"/>
    </xf>
    <xf numFmtId="0" fontId="15" fillId="6" borderId="0" xfId="0" applyFont="1" applyFill="1" applyAlignment="1">
      <alignment vertical="center" wrapText="1"/>
    </xf>
    <xf numFmtId="0" fontId="9" fillId="3" borderId="11" xfId="0" applyFont="1" applyFill="1" applyBorder="1" applyAlignment="1"/>
    <xf numFmtId="0" fontId="24" fillId="3" borderId="11" xfId="0" applyFont="1" applyFill="1" applyBorder="1" applyAlignment="1"/>
    <xf numFmtId="0" fontId="0" fillId="5" borderId="6" xfId="0" applyFill="1" applyBorder="1" applyAlignment="1"/>
    <xf numFmtId="0" fontId="0" fillId="5" borderId="16" xfId="0" applyFill="1" applyBorder="1" applyAlignment="1"/>
    <xf numFmtId="0" fontId="13" fillId="3" borderId="11" xfId="0" applyFont="1" applyFill="1" applyBorder="1" applyAlignment="1"/>
    <xf numFmtId="0" fontId="9" fillId="3" borderId="0" xfId="0" applyFont="1" applyFill="1" applyAlignment="1"/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 vertical="center"/>
    </xf>
    <xf numFmtId="44" fontId="18" fillId="0" borderId="0" xfId="1" applyFont="1" applyAlignment="1">
      <alignment horizontal="center"/>
    </xf>
    <xf numFmtId="9" fontId="18" fillId="0" borderId="0" xfId="5" applyFont="1" applyFill="1"/>
    <xf numFmtId="43" fontId="18" fillId="0" borderId="0" xfId="1" applyNumberFormat="1" applyFont="1" applyFill="1"/>
  </cellXfs>
  <cellStyles count="6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3000000}"/>
    <cellStyle name="Note 2" xfId="4" xr:uid="{00000000-0005-0000-0000-000004000000}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7"/>
  <sheetViews>
    <sheetView zoomScaleNormal="100" workbookViewId="0">
      <pane ySplit="7" topLeftCell="A8" activePane="bottomLeft" state="frozen"/>
      <selection pane="bottomLeft" activeCell="E42" sqref="E42"/>
    </sheetView>
  </sheetViews>
  <sheetFormatPr defaultRowHeight="12.75"/>
  <cols>
    <col min="1" max="1" width="2.42578125" customWidth="1"/>
    <col min="2" max="2" width="32.42578125" customWidth="1"/>
    <col min="3" max="3" width="7.7109375" customWidth="1"/>
    <col min="4" max="4" width="14.28515625" customWidth="1"/>
    <col min="5" max="5" width="15.5703125" customWidth="1"/>
    <col min="6" max="6" width="15.28515625" customWidth="1"/>
    <col min="7" max="7" width="14.5703125" customWidth="1"/>
    <col min="8" max="8" width="16" customWidth="1"/>
    <col min="9" max="9" width="17" customWidth="1"/>
    <col min="10" max="10" width="15.42578125" customWidth="1"/>
    <col min="11" max="11" width="2.42578125" customWidth="1"/>
    <col min="12" max="12" width="15.85546875" customWidth="1"/>
  </cols>
  <sheetData>
    <row r="1" spans="1:13">
      <c r="A1" s="177"/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13" ht="14.25" customHeight="1">
      <c r="A2" s="178"/>
      <c r="B2" s="216" t="s">
        <v>0</v>
      </c>
      <c r="C2" s="216"/>
      <c r="D2" s="216"/>
      <c r="E2" s="216"/>
      <c r="F2" s="216"/>
      <c r="G2" s="216"/>
      <c r="H2" s="216"/>
      <c r="I2" s="216"/>
      <c r="J2" s="216"/>
      <c r="K2" s="178"/>
    </row>
    <row r="3" spans="1:13" ht="12.75" customHeight="1">
      <c r="A3" s="177"/>
      <c r="B3" s="216"/>
      <c r="C3" s="216"/>
      <c r="D3" s="216"/>
      <c r="E3" s="216"/>
      <c r="F3" s="216"/>
      <c r="G3" s="216"/>
      <c r="H3" s="216"/>
      <c r="I3" s="216"/>
      <c r="J3" s="216"/>
      <c r="K3" s="177"/>
    </row>
    <row r="4" spans="1:13" ht="51" customHeight="1">
      <c r="A4" s="177"/>
      <c r="B4" s="216" t="s">
        <v>1</v>
      </c>
      <c r="C4" s="174"/>
      <c r="D4" s="196" t="s">
        <v>2</v>
      </c>
      <c r="E4" s="197"/>
      <c r="F4" s="223" t="s">
        <v>3</v>
      </c>
      <c r="G4" s="224"/>
      <c r="H4" s="225"/>
      <c r="I4" s="196" t="s">
        <v>4</v>
      </c>
      <c r="J4" s="197"/>
      <c r="K4" s="177"/>
    </row>
    <row r="5" spans="1:13" ht="45.75" customHeight="1">
      <c r="A5" s="179"/>
      <c r="B5" s="216"/>
      <c r="C5" s="174"/>
      <c r="D5" s="184">
        <v>1500</v>
      </c>
      <c r="E5" s="185" t="s">
        <v>5</v>
      </c>
      <c r="F5" s="226"/>
      <c r="G5" s="227"/>
      <c r="H5" s="228"/>
      <c r="I5" s="184">
        <f>'Your Budget'!$B$3</f>
        <v>1700</v>
      </c>
      <c r="J5" s="185" t="str">
        <f>'Your Budget'!$B$4</f>
        <v>cartons</v>
      </c>
      <c r="K5" s="179"/>
    </row>
    <row r="6" spans="1:13" ht="45.75" customHeight="1">
      <c r="A6" s="180"/>
      <c r="B6" s="174"/>
      <c r="C6" s="174" t="s">
        <v>6</v>
      </c>
      <c r="D6" s="175" t="s">
        <v>7</v>
      </c>
      <c r="E6" s="175" t="s">
        <v>8</v>
      </c>
      <c r="F6" s="175" t="s">
        <v>9</v>
      </c>
      <c r="G6" s="175" t="s">
        <v>10</v>
      </c>
      <c r="H6" s="175" t="s">
        <v>11</v>
      </c>
      <c r="I6" s="175" t="s">
        <v>12</v>
      </c>
      <c r="J6" s="175" t="s">
        <v>13</v>
      </c>
      <c r="K6" s="180"/>
    </row>
    <row r="7" spans="1:13" ht="13.5" customHeight="1">
      <c r="A7" s="180"/>
      <c r="B7" s="215"/>
      <c r="C7" s="215"/>
      <c r="D7" s="215"/>
      <c r="E7" s="215"/>
      <c r="F7" s="215"/>
      <c r="G7" s="215"/>
      <c r="H7" s="215"/>
      <c r="I7" s="215"/>
      <c r="J7" s="215"/>
      <c r="K7" s="180"/>
      <c r="M7" s="176"/>
    </row>
    <row r="8" spans="1:13" ht="18.75" customHeight="1">
      <c r="A8" s="198"/>
      <c r="B8" s="208" t="s">
        <v>14</v>
      </c>
      <c r="C8" s="209"/>
      <c r="D8" s="209"/>
      <c r="E8" s="209"/>
      <c r="F8" s="209"/>
      <c r="G8" s="209"/>
      <c r="H8" s="209"/>
      <c r="I8" s="209"/>
      <c r="J8" s="210"/>
      <c r="K8" s="198"/>
    </row>
    <row r="9" spans="1:13">
      <c r="A9" s="198"/>
      <c r="B9" s="9" t="s">
        <v>15</v>
      </c>
      <c r="C9" s="37" t="s">
        <v>16</v>
      </c>
      <c r="D9" s="13">
        <v>1</v>
      </c>
      <c r="E9" s="181"/>
      <c r="F9" s="6">
        <f t="shared" ref="F9:F30" si="0">D9*E9</f>
        <v>0</v>
      </c>
      <c r="G9" s="6">
        <f>F9/$D$5</f>
        <v>0</v>
      </c>
      <c r="H9" s="63"/>
      <c r="I9" s="6">
        <f>J9/$I$5</f>
        <v>0.37647058823529411</v>
      </c>
      <c r="J9" s="76">
        <f>('Your Budget'!E6)</f>
        <v>640</v>
      </c>
      <c r="K9" s="198"/>
    </row>
    <row r="10" spans="1:13">
      <c r="A10" s="198"/>
      <c r="B10" s="9" t="s">
        <v>17</v>
      </c>
      <c r="C10" s="12" t="s">
        <v>16</v>
      </c>
      <c r="D10" s="13">
        <v>1</v>
      </c>
      <c r="E10" s="181"/>
      <c r="F10" s="6">
        <f t="shared" si="0"/>
        <v>0</v>
      </c>
      <c r="G10" s="6">
        <f t="shared" ref="G10:G32" si="1">F10/$D$5</f>
        <v>0</v>
      </c>
      <c r="H10" s="6"/>
      <c r="I10" s="6">
        <f t="shared" ref="I10:I16" si="2">J10/$I$5</f>
        <v>0.47352941176470587</v>
      </c>
      <c r="J10" s="6">
        <f>('Your Budget'!E7)</f>
        <v>805</v>
      </c>
      <c r="K10" s="198"/>
    </row>
    <row r="11" spans="1:13">
      <c r="A11" s="198"/>
      <c r="B11" s="9" t="s">
        <v>18</v>
      </c>
      <c r="C11" s="12" t="s">
        <v>16</v>
      </c>
      <c r="D11" s="13">
        <v>1</v>
      </c>
      <c r="E11" s="6">
        <f>yourfumigant!F20</f>
        <v>2275</v>
      </c>
      <c r="F11" s="6">
        <f t="shared" si="0"/>
        <v>2275</v>
      </c>
      <c r="G11" s="6">
        <f t="shared" si="1"/>
        <v>1.5166666666666666</v>
      </c>
      <c r="H11" s="6"/>
      <c r="I11" s="6">
        <f t="shared" si="2"/>
        <v>0.32829882352941181</v>
      </c>
      <c r="J11" s="6">
        <f>'Your Budget'!E8</f>
        <v>558.10800000000006</v>
      </c>
      <c r="K11" s="198"/>
    </row>
    <row r="12" spans="1:13">
      <c r="A12" s="198"/>
      <c r="B12" s="9" t="s">
        <v>19</v>
      </c>
      <c r="C12" s="12" t="s">
        <v>16</v>
      </c>
      <c r="D12" s="13">
        <v>1</v>
      </c>
      <c r="E12" s="181"/>
      <c r="F12" s="6">
        <f t="shared" si="0"/>
        <v>0</v>
      </c>
      <c r="G12" s="6">
        <f t="shared" si="1"/>
        <v>0</v>
      </c>
      <c r="H12" s="6"/>
      <c r="I12" s="6">
        <f t="shared" si="2"/>
        <v>0</v>
      </c>
      <c r="J12" s="6">
        <f>('Your Budget'!E9)</f>
        <v>0</v>
      </c>
      <c r="K12" s="198"/>
    </row>
    <row r="13" spans="1:13">
      <c r="A13" s="198"/>
      <c r="B13" s="9" t="s">
        <v>20</v>
      </c>
      <c r="C13" s="12" t="s">
        <v>16</v>
      </c>
      <c r="D13" s="13">
        <v>1</v>
      </c>
      <c r="E13" s="181"/>
      <c r="F13" s="6">
        <f t="shared" si="0"/>
        <v>0</v>
      </c>
      <c r="G13" s="6">
        <f t="shared" si="1"/>
        <v>0</v>
      </c>
      <c r="H13" s="6"/>
      <c r="I13" s="6">
        <f t="shared" si="2"/>
        <v>0</v>
      </c>
      <c r="J13" s="6">
        <f>('Your Budget'!E10)</f>
        <v>0</v>
      </c>
      <c r="K13" s="198"/>
    </row>
    <row r="14" spans="1:13">
      <c r="A14" s="198"/>
      <c r="B14" s="9" t="s">
        <v>21</v>
      </c>
      <c r="C14" s="12" t="s">
        <v>16</v>
      </c>
      <c r="D14" s="13">
        <v>1</v>
      </c>
      <c r="E14" s="6"/>
      <c r="F14" s="6">
        <f t="shared" si="0"/>
        <v>0</v>
      </c>
      <c r="G14" s="6">
        <f t="shared" si="1"/>
        <v>0</v>
      </c>
      <c r="H14" s="6"/>
      <c r="I14" s="6">
        <f t="shared" si="2"/>
        <v>5.9917647058823527E-2</v>
      </c>
      <c r="J14" s="6">
        <f>'Your Budget'!E11</f>
        <v>101.86</v>
      </c>
      <c r="K14" s="198"/>
    </row>
    <row r="15" spans="1:13">
      <c r="A15" s="198"/>
      <c r="B15" s="9" t="s">
        <v>22</v>
      </c>
      <c r="C15" s="12" t="s">
        <v>16</v>
      </c>
      <c r="D15" s="13">
        <v>1</v>
      </c>
      <c r="E15" s="6"/>
      <c r="F15" s="6">
        <f t="shared" si="0"/>
        <v>0</v>
      </c>
      <c r="G15" s="6">
        <f t="shared" si="1"/>
        <v>0</v>
      </c>
      <c r="H15" s="6"/>
      <c r="I15" s="6">
        <f t="shared" si="2"/>
        <v>0.42065588235294116</v>
      </c>
      <c r="J15" s="6">
        <f>'Your Budget'!E12</f>
        <v>715.11500000000001</v>
      </c>
      <c r="K15" s="198"/>
    </row>
    <row r="16" spans="1:13">
      <c r="A16" s="198"/>
      <c r="B16" s="9" t="s">
        <v>23</v>
      </c>
      <c r="C16" s="12" t="s">
        <v>16</v>
      </c>
      <c r="D16" s="13">
        <v>1</v>
      </c>
      <c r="E16" s="6"/>
      <c r="F16" s="6">
        <f>E16*D16</f>
        <v>0</v>
      </c>
      <c r="G16" s="6">
        <f t="shared" si="1"/>
        <v>0</v>
      </c>
      <c r="H16" s="6"/>
      <c r="I16" s="6">
        <f t="shared" si="2"/>
        <v>0.49649029411764706</v>
      </c>
      <c r="J16" s="6">
        <f>'Your Budget'!E13</f>
        <v>844.0335</v>
      </c>
      <c r="K16" s="198"/>
    </row>
    <row r="17" spans="1:11" ht="16.5" customHeight="1">
      <c r="A17" s="198"/>
      <c r="B17" s="148" t="s">
        <v>24</v>
      </c>
      <c r="C17" s="47" t="s">
        <v>16</v>
      </c>
      <c r="D17" s="64">
        <v>1</v>
      </c>
      <c r="E17" s="48">
        <f>Equipment!D51</f>
        <v>2730.080586</v>
      </c>
      <c r="F17" s="48">
        <f t="shared" si="0"/>
        <v>2730.080586</v>
      </c>
      <c r="G17" s="48">
        <f t="shared" si="1"/>
        <v>1.8200537240000001</v>
      </c>
      <c r="H17" s="48"/>
      <c r="I17" s="48">
        <f>J17/$I$5</f>
        <v>0.79364695882352942</v>
      </c>
      <c r="J17" s="48">
        <f>'Your Budget'!E14</f>
        <v>1349.19983</v>
      </c>
      <c r="K17" s="198"/>
    </row>
    <row r="18" spans="1:11" ht="36" customHeight="1">
      <c r="A18" s="198"/>
      <c r="B18" s="34" t="s">
        <v>25</v>
      </c>
      <c r="C18" s="47" t="s">
        <v>26</v>
      </c>
      <c r="D18" s="182"/>
      <c r="E18" s="183">
        <v>0.51</v>
      </c>
      <c r="F18" s="48">
        <f t="shared" si="0"/>
        <v>0</v>
      </c>
      <c r="G18" s="48">
        <f t="shared" si="1"/>
        <v>0</v>
      </c>
      <c r="H18" s="48"/>
      <c r="I18" s="48">
        <f>J18/$I$5</f>
        <v>2.4223529411764706E-2</v>
      </c>
      <c r="J18" s="48">
        <f>'Your Budget'!E15</f>
        <v>41.18</v>
      </c>
      <c r="K18" s="198"/>
    </row>
    <row r="19" spans="1:11">
      <c r="A19" s="198"/>
      <c r="B19" s="9" t="s">
        <v>27</v>
      </c>
      <c r="C19" s="12" t="s">
        <v>16</v>
      </c>
      <c r="D19" s="13">
        <v>1</v>
      </c>
      <c r="E19" s="181"/>
      <c r="F19" s="6">
        <f t="shared" si="0"/>
        <v>0</v>
      </c>
      <c r="G19" s="6">
        <f t="shared" si="1"/>
        <v>0</v>
      </c>
      <c r="H19" s="6"/>
      <c r="I19" s="6">
        <f>J19/$I$5</f>
        <v>0.5211058823529412</v>
      </c>
      <c r="J19" s="6">
        <f>('Your Budget'!E16)</f>
        <v>885.88</v>
      </c>
      <c r="K19" s="198"/>
    </row>
    <row r="20" spans="1:11">
      <c r="A20" s="198"/>
      <c r="B20" s="41" t="s">
        <v>28</v>
      </c>
      <c r="C20" s="12" t="s">
        <v>16</v>
      </c>
      <c r="D20" s="13">
        <v>1</v>
      </c>
      <c r="E20" s="108">
        <f>Equipment!D48</f>
        <v>171.42999999999998</v>
      </c>
      <c r="F20" s="6">
        <f t="shared" si="0"/>
        <v>171.42999999999998</v>
      </c>
      <c r="G20" s="6">
        <f t="shared" si="1"/>
        <v>0.11428666666666665</v>
      </c>
      <c r="H20" s="6"/>
      <c r="I20" s="6">
        <f>J20/$I$5</f>
        <v>0.2746058823529412</v>
      </c>
      <c r="J20" s="6">
        <f>'Your Budget'!E18</f>
        <v>466.83000000000004</v>
      </c>
      <c r="K20" s="198"/>
    </row>
    <row r="21" spans="1:11">
      <c r="A21" s="198"/>
      <c r="B21" s="9" t="s">
        <v>29</v>
      </c>
      <c r="C21" s="12" t="s">
        <v>16</v>
      </c>
      <c r="D21" s="13">
        <v>1</v>
      </c>
      <c r="E21" s="181"/>
      <c r="F21" s="6">
        <f t="shared" si="0"/>
        <v>0</v>
      </c>
      <c r="G21" s="6">
        <f t="shared" si="1"/>
        <v>0</v>
      </c>
      <c r="H21" s="6"/>
      <c r="I21" s="6">
        <f t="shared" ref="I21:I29" si="3">J21/$I$5</f>
        <v>2.5588235294117648E-2</v>
      </c>
      <c r="J21" s="6">
        <f>('Your Budget'!E19)</f>
        <v>43.5</v>
      </c>
      <c r="K21" s="198"/>
    </row>
    <row r="22" spans="1:11">
      <c r="A22" s="198"/>
      <c r="B22" s="9" t="s">
        <v>30</v>
      </c>
      <c r="C22" s="12" t="s">
        <v>16</v>
      </c>
      <c r="D22" s="13">
        <v>1</v>
      </c>
      <c r="E22" s="181"/>
      <c r="F22" s="6">
        <f t="shared" si="0"/>
        <v>0</v>
      </c>
      <c r="G22" s="6">
        <f t="shared" si="1"/>
        <v>0</v>
      </c>
      <c r="H22" s="6"/>
      <c r="I22" s="6">
        <f t="shared" si="3"/>
        <v>6.9117647058823534E-2</v>
      </c>
      <c r="J22" s="6">
        <f>('Your Budget'!E20)</f>
        <v>117.5</v>
      </c>
      <c r="K22" s="198"/>
    </row>
    <row r="23" spans="1:11">
      <c r="A23" s="198"/>
      <c r="B23" s="9" t="s">
        <v>31</v>
      </c>
      <c r="C23" s="12" t="s">
        <v>16</v>
      </c>
      <c r="D23" s="13">
        <v>1</v>
      </c>
      <c r="E23" s="181"/>
      <c r="F23" s="6">
        <f t="shared" si="0"/>
        <v>0</v>
      </c>
      <c r="G23" s="6">
        <f t="shared" si="1"/>
        <v>0</v>
      </c>
      <c r="H23" s="6"/>
      <c r="I23" s="6">
        <f t="shared" si="3"/>
        <v>0.21176470588235294</v>
      </c>
      <c r="J23" s="6">
        <f>('Your Budget'!E21)</f>
        <v>360</v>
      </c>
      <c r="K23" s="198"/>
    </row>
    <row r="24" spans="1:11">
      <c r="A24" s="198"/>
      <c r="B24" s="9" t="s">
        <v>32</v>
      </c>
      <c r="C24" s="12" t="s">
        <v>16</v>
      </c>
      <c r="D24" s="13">
        <v>1</v>
      </c>
      <c r="E24" s="181"/>
      <c r="F24" s="6">
        <f>D24*E24</f>
        <v>0</v>
      </c>
      <c r="G24" s="6">
        <f t="shared" si="1"/>
        <v>0</v>
      </c>
      <c r="H24" s="6"/>
      <c r="I24" s="6">
        <f t="shared" si="3"/>
        <v>0.20352941176470588</v>
      </c>
      <c r="J24" s="6">
        <f>('Your Budget'!E22)</f>
        <v>346</v>
      </c>
      <c r="K24" s="198"/>
    </row>
    <row r="25" spans="1:11">
      <c r="A25" s="198"/>
      <c r="B25" s="9" t="s">
        <v>33</v>
      </c>
      <c r="C25" s="12" t="s">
        <v>16</v>
      </c>
      <c r="D25" s="13">
        <v>1</v>
      </c>
      <c r="E25" s="181"/>
      <c r="F25" s="6">
        <f>D25*E25</f>
        <v>0</v>
      </c>
      <c r="G25" s="6">
        <f t="shared" si="1"/>
        <v>0</v>
      </c>
      <c r="H25" s="6"/>
      <c r="I25" s="6">
        <f t="shared" si="3"/>
        <v>2.3941176470588237E-2</v>
      </c>
      <c r="J25" s="6">
        <f>('Your Budget'!E23)</f>
        <v>40.700000000000003</v>
      </c>
      <c r="K25" s="198"/>
    </row>
    <row r="26" spans="1:11">
      <c r="A26" s="198"/>
      <c r="B26" s="9" t="s">
        <v>34</v>
      </c>
      <c r="C26" s="12" t="s">
        <v>16</v>
      </c>
      <c r="D26" s="13">
        <v>1</v>
      </c>
      <c r="E26" s="181"/>
      <c r="F26" s="6">
        <f>D26*E26</f>
        <v>0</v>
      </c>
      <c r="G26" s="6">
        <f t="shared" si="1"/>
        <v>0</v>
      </c>
      <c r="H26" s="6"/>
      <c r="I26" s="6">
        <f t="shared" si="3"/>
        <v>0.14441176470588235</v>
      </c>
      <c r="J26" s="6">
        <f>('Your Budget'!E24)</f>
        <v>245.5</v>
      </c>
      <c r="K26" s="198"/>
    </row>
    <row r="27" spans="1:11">
      <c r="A27" s="198"/>
      <c r="B27" s="9" t="s">
        <v>35</v>
      </c>
      <c r="C27" s="12" t="s">
        <v>16</v>
      </c>
      <c r="D27" s="13">
        <v>1</v>
      </c>
      <c r="E27" s="181"/>
      <c r="F27" s="6">
        <f>D27*E27</f>
        <v>0</v>
      </c>
      <c r="G27" s="6">
        <f t="shared" si="1"/>
        <v>0</v>
      </c>
      <c r="H27" s="6"/>
      <c r="I27" s="6">
        <f t="shared" si="3"/>
        <v>7.5335294117647056E-2</v>
      </c>
      <c r="J27" s="6">
        <f>('Your Budget'!E25)</f>
        <v>128.07</v>
      </c>
      <c r="K27" s="198"/>
    </row>
    <row r="28" spans="1:11">
      <c r="A28" s="198"/>
      <c r="B28" s="9" t="s">
        <v>36</v>
      </c>
      <c r="C28" s="12" t="s">
        <v>16</v>
      </c>
      <c r="D28" s="13">
        <v>1</v>
      </c>
      <c r="E28" s="181"/>
      <c r="F28" s="6">
        <f>D28*E28</f>
        <v>0</v>
      </c>
      <c r="G28" s="6">
        <f t="shared" si="1"/>
        <v>0</v>
      </c>
      <c r="H28" s="6"/>
      <c r="I28" s="6">
        <f t="shared" si="3"/>
        <v>0</v>
      </c>
      <c r="J28" s="6">
        <f>('Your Budget'!E26)</f>
        <v>0</v>
      </c>
      <c r="K28" s="198"/>
    </row>
    <row r="29" spans="1:11">
      <c r="A29" s="198"/>
      <c r="B29" s="9" t="s">
        <v>37</v>
      </c>
      <c r="C29" s="12" t="s">
        <v>16</v>
      </c>
      <c r="D29" s="13">
        <v>1</v>
      </c>
      <c r="E29" s="181"/>
      <c r="F29" s="6">
        <f t="shared" si="0"/>
        <v>0</v>
      </c>
      <c r="G29" s="6">
        <f t="shared" si="1"/>
        <v>0</v>
      </c>
      <c r="H29" s="6"/>
      <c r="I29" s="6">
        <f t="shared" si="3"/>
        <v>2.3529411764705882E-2</v>
      </c>
      <c r="J29" s="6">
        <f>('Your Budget'!E27)</f>
        <v>40</v>
      </c>
      <c r="K29" s="198"/>
    </row>
    <row r="30" spans="1:11">
      <c r="A30" s="198"/>
      <c r="B30" s="9" t="s">
        <v>38</v>
      </c>
      <c r="C30" s="12" t="s">
        <v>16</v>
      </c>
      <c r="D30" s="13">
        <v>1</v>
      </c>
      <c r="E30" s="6">
        <f>SUM(E9:E29)*0.1</f>
        <v>517.7020586000001</v>
      </c>
      <c r="F30" s="6">
        <f t="shared" si="0"/>
        <v>517.7020586000001</v>
      </c>
      <c r="G30" s="6">
        <f t="shared" si="1"/>
        <v>0.34513470573333338</v>
      </c>
      <c r="H30" s="6"/>
      <c r="I30" s="6">
        <f>J30/$I$5</f>
        <v>0.18184650188235296</v>
      </c>
      <c r="J30" s="6">
        <f>'Your Budget'!E34</f>
        <v>309.13905320000003</v>
      </c>
      <c r="K30" s="198"/>
    </row>
    <row r="31" spans="1:11" ht="15">
      <c r="A31" s="198"/>
      <c r="B31" s="206"/>
      <c r="C31" s="206"/>
      <c r="D31" s="206"/>
      <c r="E31" s="206"/>
      <c r="F31" s="206"/>
      <c r="G31" s="206"/>
      <c r="H31" s="206"/>
      <c r="I31" s="206"/>
      <c r="J31" s="206"/>
      <c r="K31" s="198"/>
    </row>
    <row r="32" spans="1:11" ht="12.75" customHeight="1">
      <c r="A32" s="198"/>
      <c r="B32" s="217" t="s">
        <v>39</v>
      </c>
      <c r="C32" s="218"/>
      <c r="D32" s="218"/>
      <c r="E32" s="219"/>
      <c r="F32" s="213">
        <f>SUM(F9:F29)</f>
        <v>5176.5105860000003</v>
      </c>
      <c r="G32" s="213">
        <f t="shared" si="1"/>
        <v>3.4510070573333333</v>
      </c>
      <c r="H32" s="211"/>
      <c r="I32" s="213">
        <f>J32/$I$5</f>
        <v>4.5461625470588238</v>
      </c>
      <c r="J32" s="213">
        <f>SUM(J9:J29)</f>
        <v>7728.4763300000004</v>
      </c>
      <c r="K32" s="198"/>
    </row>
    <row r="33" spans="1:12">
      <c r="A33" s="198"/>
      <c r="B33" s="220"/>
      <c r="C33" s="221"/>
      <c r="D33" s="221"/>
      <c r="E33" s="222"/>
      <c r="F33" s="214"/>
      <c r="G33" s="214"/>
      <c r="H33" s="212"/>
      <c r="I33" s="214"/>
      <c r="J33" s="214"/>
      <c r="K33" s="198"/>
    </row>
    <row r="34" spans="1:12" ht="15">
      <c r="A34" s="198"/>
      <c r="B34" s="206"/>
      <c r="C34" s="206"/>
      <c r="D34" s="206"/>
      <c r="E34" s="206"/>
      <c r="F34" s="206"/>
      <c r="G34" s="206"/>
      <c r="H34" s="206"/>
      <c r="I34" s="206"/>
      <c r="J34" s="206"/>
      <c r="K34" s="198"/>
    </row>
    <row r="35" spans="1:12" ht="0.75" customHeight="1">
      <c r="A35" s="198"/>
      <c r="C35" s="51"/>
      <c r="D35" s="50"/>
      <c r="E35" s="52"/>
      <c r="F35" s="53"/>
      <c r="G35" s="53"/>
      <c r="H35" s="54"/>
      <c r="I35" s="65"/>
      <c r="J35" s="53"/>
      <c r="K35" s="198"/>
    </row>
    <row r="36" spans="1:12" ht="12.75" customHeight="1">
      <c r="A36" s="198"/>
      <c r="B36" s="217" t="s">
        <v>40</v>
      </c>
      <c r="C36" s="218"/>
      <c r="D36" s="218"/>
      <c r="E36" s="219"/>
      <c r="F36" s="213">
        <f>F32+F30</f>
        <v>5694.2126446000002</v>
      </c>
      <c r="G36" s="213">
        <f>F36/D5</f>
        <v>3.7961417630666667</v>
      </c>
      <c r="H36" s="211"/>
      <c r="I36" s="213">
        <f>J36/$I$5</f>
        <v>4.7280090489411766</v>
      </c>
      <c r="J36" s="213">
        <f>J30+J32</f>
        <v>8037.6153832</v>
      </c>
      <c r="K36" s="198"/>
    </row>
    <row r="37" spans="1:12">
      <c r="A37" s="198"/>
      <c r="B37" s="220"/>
      <c r="C37" s="221"/>
      <c r="D37" s="221"/>
      <c r="E37" s="222"/>
      <c r="F37" s="214"/>
      <c r="G37" s="214"/>
      <c r="H37" s="212"/>
      <c r="I37" s="214"/>
      <c r="J37" s="214"/>
      <c r="K37" s="198"/>
    </row>
    <row r="38" spans="1:12" ht="15">
      <c r="A38" s="198"/>
      <c r="B38" s="206"/>
      <c r="C38" s="206"/>
      <c r="D38" s="206"/>
      <c r="E38" s="206"/>
      <c r="F38" s="206"/>
      <c r="G38" s="206"/>
      <c r="H38" s="206"/>
      <c r="I38" s="206"/>
      <c r="J38" s="206"/>
      <c r="K38" s="198"/>
    </row>
    <row r="39" spans="1:12" ht="15">
      <c r="A39" s="198"/>
      <c r="B39" s="208" t="s">
        <v>41</v>
      </c>
      <c r="C39" s="209"/>
      <c r="D39" s="209"/>
      <c r="E39" s="209"/>
      <c r="F39" s="209"/>
      <c r="G39" s="209"/>
      <c r="H39" s="209"/>
      <c r="I39" s="209"/>
      <c r="J39" s="210"/>
      <c r="K39" s="198"/>
    </row>
    <row r="40" spans="1:12">
      <c r="A40" s="198"/>
      <c r="B40" s="9" t="s">
        <v>42</v>
      </c>
      <c r="C40" s="12" t="s">
        <v>16</v>
      </c>
      <c r="D40" s="13">
        <v>1</v>
      </c>
      <c r="E40" s="6">
        <f>Equipment!D46+Equipment!D47</f>
        <v>634.01858599999991</v>
      </c>
      <c r="F40" s="6">
        <f>D40*E40</f>
        <v>634.01858599999991</v>
      </c>
      <c r="G40" s="6">
        <f>F40/$D$5</f>
        <v>0.42267905733333327</v>
      </c>
      <c r="H40" s="6"/>
      <c r="I40" s="6">
        <f>J40/$I$5</f>
        <v>0.17474384117647054</v>
      </c>
      <c r="J40" s="6">
        <f>'Your Budget'!E41</f>
        <v>297.06452999999993</v>
      </c>
      <c r="K40" s="198"/>
    </row>
    <row r="41" spans="1:12">
      <c r="A41" s="198"/>
      <c r="B41" s="9" t="s">
        <v>43</v>
      </c>
      <c r="C41" s="12" t="s">
        <v>16</v>
      </c>
      <c r="D41" s="13">
        <v>1</v>
      </c>
      <c r="E41" s="181"/>
      <c r="F41" s="6">
        <f>D41*E41</f>
        <v>0</v>
      </c>
      <c r="G41" s="6">
        <f>F41/$D$5</f>
        <v>0</v>
      </c>
      <c r="H41" s="6"/>
      <c r="I41" s="6">
        <f>J41/$I$5</f>
        <v>0.33029411764705885</v>
      </c>
      <c r="J41" s="6">
        <f>('Your Budget'!E42)</f>
        <v>561.5</v>
      </c>
      <c r="K41" s="198"/>
    </row>
    <row r="42" spans="1:12">
      <c r="A42" s="198"/>
      <c r="B42" s="9" t="s">
        <v>44</v>
      </c>
      <c r="C42" s="12" t="s">
        <v>16</v>
      </c>
      <c r="D42" s="13">
        <v>1</v>
      </c>
      <c r="E42" s="6">
        <f>(E40+E41)*0.25</f>
        <v>158.50464649999998</v>
      </c>
      <c r="F42" s="6">
        <f>D42*E42</f>
        <v>158.50464649999998</v>
      </c>
      <c r="G42" s="6">
        <f>F42/$D$5</f>
        <v>0.10566976433333332</v>
      </c>
      <c r="H42" s="6"/>
      <c r="I42" s="48">
        <f>J42/$I$5</f>
        <v>1.136540636764706</v>
      </c>
      <c r="J42" s="6">
        <f>('Your Budget'!E47)</f>
        <v>1932.1190825000001</v>
      </c>
      <c r="K42" s="198"/>
    </row>
    <row r="43" spans="1:12" ht="15">
      <c r="A43" s="198"/>
      <c r="B43" s="208" t="s">
        <v>45</v>
      </c>
      <c r="C43" s="209"/>
      <c r="D43" s="209"/>
      <c r="E43" s="210"/>
      <c r="F43" s="15">
        <f>SUM(F40:F42)</f>
        <v>792.52323249999995</v>
      </c>
      <c r="G43" s="15">
        <f>F43/$D$5</f>
        <v>0.52834882166666663</v>
      </c>
      <c r="H43" s="15"/>
      <c r="I43" s="48">
        <f>J43/$I$5</f>
        <v>1.6415785955882354</v>
      </c>
      <c r="J43" s="15">
        <f>SUM(J40:J42)</f>
        <v>2790.6836125</v>
      </c>
      <c r="K43" s="198"/>
    </row>
    <row r="44" spans="1:12" ht="15">
      <c r="A44" s="198"/>
      <c r="B44" s="206"/>
      <c r="C44" s="206"/>
      <c r="D44" s="206"/>
      <c r="E44" s="206"/>
      <c r="F44" s="206"/>
      <c r="G44" s="206"/>
      <c r="H44" s="206"/>
      <c r="I44" s="206"/>
      <c r="J44" s="206"/>
      <c r="K44" s="198"/>
    </row>
    <row r="45" spans="1:12" ht="15">
      <c r="A45" s="198"/>
      <c r="B45" s="208" t="s">
        <v>46</v>
      </c>
      <c r="C45" s="209"/>
      <c r="D45" s="209"/>
      <c r="E45" s="210"/>
      <c r="F45" s="15">
        <f>F36+F43</f>
        <v>6486.7358770999999</v>
      </c>
      <c r="G45" s="15">
        <f>F45/D5</f>
        <v>4.3244905847333337</v>
      </c>
      <c r="H45" s="15"/>
      <c r="I45" s="44">
        <f>J45/$I$5</f>
        <v>6.3695876445294113</v>
      </c>
      <c r="J45" s="15">
        <f>(J36+J43)</f>
        <v>10828.298995699999</v>
      </c>
      <c r="K45" s="198"/>
    </row>
    <row r="46" spans="1:12" ht="15">
      <c r="A46" s="198"/>
      <c r="B46" s="206"/>
      <c r="C46" s="206"/>
      <c r="D46" s="206"/>
      <c r="E46" s="206"/>
      <c r="F46" s="206"/>
      <c r="G46" s="206"/>
      <c r="H46" s="206"/>
      <c r="I46" s="206"/>
      <c r="J46" s="206"/>
      <c r="K46" s="198"/>
    </row>
    <row r="47" spans="1:12" ht="15">
      <c r="A47" s="198"/>
      <c r="B47" s="208" t="s">
        <v>47</v>
      </c>
      <c r="C47" s="209"/>
      <c r="D47" s="209"/>
      <c r="E47" s="209"/>
      <c r="F47" s="209"/>
      <c r="G47" s="209"/>
      <c r="H47" s="209"/>
      <c r="I47" s="209"/>
      <c r="J47" s="210"/>
      <c r="K47" s="198"/>
    </row>
    <row r="48" spans="1:12">
      <c r="A48" s="198"/>
      <c r="B48" s="9" t="s">
        <v>48</v>
      </c>
      <c r="C48" s="12" t="str">
        <f>$E$5</f>
        <v>cartons</v>
      </c>
      <c r="D48" s="37">
        <f>$D$5</f>
        <v>1500</v>
      </c>
      <c r="E48" s="181"/>
      <c r="F48" s="6">
        <f>D48*E48</f>
        <v>0</v>
      </c>
      <c r="G48" s="6">
        <f>F48/$D$5</f>
        <v>0</v>
      </c>
      <c r="H48" s="146">
        <f>$I$5</f>
        <v>1700</v>
      </c>
      <c r="I48" s="6">
        <f>'Your Budget'!D56</f>
        <v>2.5</v>
      </c>
      <c r="J48" s="6">
        <f>I48*$I$5</f>
        <v>4250</v>
      </c>
      <c r="K48" s="198"/>
      <c r="L48" s="156"/>
    </row>
    <row r="49" spans="1:26">
      <c r="A49" s="198"/>
      <c r="B49" s="9" t="s">
        <v>49</v>
      </c>
      <c r="C49" s="12" t="str">
        <f>$E$5</f>
        <v>cartons</v>
      </c>
      <c r="D49" s="37">
        <f>$D$5</f>
        <v>1500</v>
      </c>
      <c r="E49" s="181"/>
      <c r="F49" s="6">
        <f>D49*E49</f>
        <v>0</v>
      </c>
      <c r="G49" s="6">
        <f>F49/$D$5</f>
        <v>0</v>
      </c>
      <c r="H49" s="146">
        <f>$I$5</f>
        <v>1700</v>
      </c>
      <c r="I49" s="6">
        <f>'Your Budget'!D57</f>
        <v>0.15</v>
      </c>
      <c r="J49" s="6">
        <f>I49*$I$5</f>
        <v>255</v>
      </c>
      <c r="K49" s="198"/>
      <c r="L49" s="156"/>
    </row>
    <row r="50" spans="1:26">
      <c r="A50" s="198"/>
      <c r="B50" s="9" t="s">
        <v>50</v>
      </c>
      <c r="C50" s="12" t="str">
        <f>$E$5</f>
        <v>cartons</v>
      </c>
      <c r="D50" s="37">
        <f>$D$5</f>
        <v>1500</v>
      </c>
      <c r="E50" s="181"/>
      <c r="F50" s="6">
        <f>D50*E50</f>
        <v>0</v>
      </c>
      <c r="G50" s="6">
        <f>F50/$D$5</f>
        <v>0</v>
      </c>
      <c r="H50" s="146">
        <f>$I$5</f>
        <v>1700</v>
      </c>
      <c r="I50" s="6">
        <f>'Your Budget'!D58</f>
        <v>0.85</v>
      </c>
      <c r="J50" s="6">
        <f>I50*$I$5</f>
        <v>1445</v>
      </c>
      <c r="K50" s="198"/>
      <c r="L50" s="156"/>
    </row>
    <row r="51" spans="1:26">
      <c r="A51" s="198"/>
      <c r="B51" s="9" t="s">
        <v>51</v>
      </c>
      <c r="C51" s="12" t="str">
        <f>$E$5</f>
        <v>cartons</v>
      </c>
      <c r="D51" s="37">
        <f>$D$5</f>
        <v>1500</v>
      </c>
      <c r="E51" s="181"/>
      <c r="F51" s="6">
        <f>D51*E51</f>
        <v>0</v>
      </c>
      <c r="G51" s="6">
        <f>F51/$D$5</f>
        <v>0</v>
      </c>
      <c r="H51" s="146">
        <f>$I$5</f>
        <v>1700</v>
      </c>
      <c r="I51" s="187">
        <v>0.05</v>
      </c>
      <c r="J51" s="6">
        <f>I51*$I$5</f>
        <v>85</v>
      </c>
      <c r="K51" s="198"/>
      <c r="L51" s="156"/>
    </row>
    <row r="52" spans="1:26" ht="16.5" customHeight="1">
      <c r="A52" s="198"/>
      <c r="B52" s="34" t="s">
        <v>52</v>
      </c>
      <c r="C52" s="12" t="str">
        <f>$E$5</f>
        <v>cartons</v>
      </c>
      <c r="D52" s="45">
        <f>$D$5</f>
        <v>1500</v>
      </c>
      <c r="E52" s="181"/>
      <c r="F52" s="48">
        <f>D52*E52</f>
        <v>0</v>
      </c>
      <c r="G52" s="48">
        <f>F52/$D$5</f>
        <v>0</v>
      </c>
      <c r="H52" s="147">
        <f>$I$5</f>
        <v>1700</v>
      </c>
      <c r="I52" s="48">
        <f>SUM('Your Budget'!D60:D62)</f>
        <v>0</v>
      </c>
      <c r="J52" s="48">
        <f>I52*$I$5</f>
        <v>0</v>
      </c>
      <c r="K52" s="198"/>
      <c r="L52" s="156"/>
    </row>
    <row r="53" spans="1:26" ht="15">
      <c r="A53" s="198"/>
      <c r="B53" s="206"/>
      <c r="C53" s="206"/>
      <c r="D53" s="206"/>
      <c r="E53" s="206"/>
      <c r="F53" s="206"/>
      <c r="G53" s="206"/>
      <c r="H53" s="206"/>
      <c r="I53" s="206"/>
      <c r="J53" s="206"/>
      <c r="K53" s="198"/>
      <c r="R53" s="207"/>
      <c r="S53" s="207"/>
      <c r="T53" s="207"/>
      <c r="U53" s="207"/>
      <c r="V53" s="207"/>
      <c r="W53" s="207"/>
      <c r="X53" s="207"/>
      <c r="Y53" s="207"/>
      <c r="Z53" s="207"/>
    </row>
    <row r="54" spans="1:26" ht="36" customHeight="1">
      <c r="A54" s="198"/>
      <c r="B54" s="200" t="s">
        <v>53</v>
      </c>
      <c r="C54" s="201"/>
      <c r="D54" s="202"/>
      <c r="E54" s="36"/>
      <c r="F54" s="44">
        <f>SUM(F48:F52)</f>
        <v>0</v>
      </c>
      <c r="G54" s="44">
        <f>F54/$D$5</f>
        <v>0</v>
      </c>
      <c r="H54" s="49"/>
      <c r="I54" s="44">
        <f>'Your Budget'!D63</f>
        <v>3.55</v>
      </c>
      <c r="J54" s="44">
        <f>SUM(J48:J52)</f>
        <v>6035</v>
      </c>
      <c r="K54" s="198"/>
    </row>
    <row r="55" spans="1:26" ht="15">
      <c r="A55" s="198"/>
      <c r="B55" s="206"/>
      <c r="C55" s="206"/>
      <c r="D55" s="206"/>
      <c r="E55" s="206"/>
      <c r="F55" s="206"/>
      <c r="G55" s="206"/>
      <c r="H55" s="206"/>
      <c r="I55" s="206"/>
      <c r="J55" s="206"/>
      <c r="K55" s="198"/>
    </row>
    <row r="56" spans="1:26" ht="15.75">
      <c r="A56" s="198"/>
      <c r="B56" s="203" t="s">
        <v>54</v>
      </c>
      <c r="C56" s="204"/>
      <c r="D56" s="204"/>
      <c r="E56" s="205"/>
      <c r="F56" s="15">
        <f>F45+F54</f>
        <v>6486.7358770999999</v>
      </c>
      <c r="G56" s="15">
        <f>F56/$D$5</f>
        <v>4.3244905847333337</v>
      </c>
      <c r="H56" s="6"/>
      <c r="I56" s="15">
        <f>J56/$I$5</f>
        <v>9.9195876445294111</v>
      </c>
      <c r="J56" s="15">
        <f>J45+J54</f>
        <v>16863.298995699999</v>
      </c>
      <c r="K56" s="198"/>
    </row>
    <row r="57" spans="1:26" ht="15">
      <c r="A57" s="199"/>
      <c r="B57" s="206"/>
      <c r="C57" s="206"/>
      <c r="D57" s="206"/>
      <c r="E57" s="206"/>
      <c r="F57" s="206"/>
      <c r="G57" s="206"/>
      <c r="H57" s="206"/>
      <c r="I57" s="206"/>
      <c r="J57" s="206"/>
      <c r="K57" s="199"/>
    </row>
  </sheetData>
  <mergeCells count="36">
    <mergeCell ref="B2:J3"/>
    <mergeCell ref="I36:I37"/>
    <mergeCell ref="H36:H37"/>
    <mergeCell ref="J36:J37"/>
    <mergeCell ref="F36:F37"/>
    <mergeCell ref="F4:H5"/>
    <mergeCell ref="B36:E37"/>
    <mergeCell ref="R53:Z53"/>
    <mergeCell ref="K8:K57"/>
    <mergeCell ref="B45:E45"/>
    <mergeCell ref="B43:E43"/>
    <mergeCell ref="H32:H33"/>
    <mergeCell ref="B46:J46"/>
    <mergeCell ref="B53:J53"/>
    <mergeCell ref="B39:J39"/>
    <mergeCell ref="I32:I33"/>
    <mergeCell ref="J32:J33"/>
    <mergeCell ref="B31:J31"/>
    <mergeCell ref="B47:J47"/>
    <mergeCell ref="B8:J8"/>
    <mergeCell ref="G36:G37"/>
    <mergeCell ref="G32:G33"/>
    <mergeCell ref="B32:E33"/>
    <mergeCell ref="I4:J4"/>
    <mergeCell ref="D4:E4"/>
    <mergeCell ref="A8:A57"/>
    <mergeCell ref="B54:D54"/>
    <mergeCell ref="B56:E56"/>
    <mergeCell ref="B57:J57"/>
    <mergeCell ref="B55:J55"/>
    <mergeCell ref="B34:J34"/>
    <mergeCell ref="B38:J38"/>
    <mergeCell ref="B44:J44"/>
    <mergeCell ref="B7:J7"/>
    <mergeCell ref="B4:B5"/>
    <mergeCell ref="F32:F33"/>
  </mergeCells>
  <phoneticPr fontId="7" type="noConversion"/>
  <printOptions verticalCentered="1" gridLines="1"/>
  <pageMargins left="0" right="0" top="0" bottom="0" header="0" footer="0"/>
  <pageSetup orientation="landscape" blackAndWhite="1" horizontalDpi="300" verticalDpi="300" r:id="rId1"/>
  <headerFooter alignWithMargins="0"/>
  <ignoredErrors>
    <ignoredError sqref="F16" formula="1"/>
    <ignoredError sqref="I52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2060"/>
    <pageSetUpPr fitToPage="1"/>
  </sheetPr>
  <dimension ref="A1:I31"/>
  <sheetViews>
    <sheetView workbookViewId="0">
      <pane ySplit="5" topLeftCell="A6" activePane="bottomLeft" state="frozen"/>
      <selection pane="bottomLeft" activeCell="C4" sqref="C4"/>
    </sheetView>
  </sheetViews>
  <sheetFormatPr defaultRowHeight="12.75"/>
  <cols>
    <col min="1" max="1" width="30.85546875" customWidth="1"/>
    <col min="2" max="2" width="10.28515625" customWidth="1"/>
    <col min="3" max="3" width="9.7109375" customWidth="1"/>
    <col min="4" max="4" width="9.5703125" customWidth="1"/>
    <col min="5" max="5" width="15.42578125" customWidth="1"/>
    <col min="6" max="6" width="13.42578125" customWidth="1"/>
    <col min="7" max="7" width="11.85546875" customWidth="1"/>
    <col min="8" max="8" width="1.85546875" customWidth="1"/>
    <col min="9" max="9" width="23.85546875" customWidth="1"/>
    <col min="10" max="10" width="1.7109375" customWidth="1"/>
    <col min="11" max="11" width="1.42578125" customWidth="1"/>
    <col min="12" max="12" width="0.85546875" customWidth="1"/>
  </cols>
  <sheetData>
    <row r="1" spans="1:9" ht="34.5" customHeight="1">
      <c r="A1" s="312" t="s">
        <v>147</v>
      </c>
      <c r="B1" s="319"/>
      <c r="C1" s="319"/>
      <c r="D1" s="319"/>
      <c r="E1" s="319"/>
      <c r="F1" s="319"/>
      <c r="G1" s="320"/>
      <c r="H1" s="282"/>
      <c r="I1" s="90" t="s">
        <v>3</v>
      </c>
    </row>
    <row r="2" spans="1:9" ht="21.75" customHeight="1">
      <c r="A2" s="298" t="s">
        <v>114</v>
      </c>
      <c r="B2" s="276" t="s">
        <v>126</v>
      </c>
      <c r="C2" s="276" t="s">
        <v>127</v>
      </c>
      <c r="D2" s="276" t="s">
        <v>86</v>
      </c>
      <c r="E2" s="276" t="s">
        <v>117</v>
      </c>
      <c r="F2" s="276" t="s">
        <v>118</v>
      </c>
      <c r="G2" s="257" t="s">
        <v>119</v>
      </c>
      <c r="H2" s="283"/>
      <c r="I2" s="290" t="s">
        <v>57</v>
      </c>
    </row>
    <row r="3" spans="1:9" ht="13.5" customHeight="1">
      <c r="A3" s="299"/>
      <c r="B3" s="277"/>
      <c r="C3" s="281"/>
      <c r="D3" s="281"/>
      <c r="E3" s="277"/>
      <c r="F3" s="277"/>
      <c r="G3" s="297"/>
      <c r="H3" s="283"/>
      <c r="I3" s="290"/>
    </row>
    <row r="4" spans="1:9" ht="14.25" customHeight="1">
      <c r="A4" s="111" t="s">
        <v>148</v>
      </c>
      <c r="B4" s="46">
        <f>MACH1718!C146</f>
        <v>34.952999999999996</v>
      </c>
      <c r="C4" s="46">
        <f>MACH1718!D146</f>
        <v>7.3458000000000006</v>
      </c>
      <c r="D4" s="79">
        <f>SUM(D6:D25)</f>
        <v>0</v>
      </c>
      <c r="E4" s="46">
        <f>(B4*D4)</f>
        <v>0</v>
      </c>
      <c r="F4" s="46">
        <f>(C4*D4)</f>
        <v>0</v>
      </c>
      <c r="G4" s="73">
        <f>E4+F4</f>
        <v>0</v>
      </c>
      <c r="H4" s="283"/>
    </row>
    <row r="5" spans="1:9" ht="12.75" customHeight="1">
      <c r="A5" s="275"/>
      <c r="B5" s="275"/>
      <c r="C5" s="275"/>
      <c r="D5" s="275"/>
      <c r="E5" s="275"/>
      <c r="F5" s="275"/>
      <c r="G5" s="275"/>
      <c r="H5" s="283"/>
    </row>
    <row r="6" spans="1:9">
      <c r="A6" s="21"/>
      <c r="B6" s="29"/>
      <c r="C6" s="29"/>
      <c r="D6" s="26"/>
      <c r="E6" s="7">
        <f t="shared" ref="E6:E20" si="0">(B6*D6)</f>
        <v>0</v>
      </c>
      <c r="F6" s="7">
        <f t="shared" ref="F6:F20" si="1">(C6*D6)</f>
        <v>0</v>
      </c>
      <c r="G6" s="72">
        <f t="shared" ref="G6:G20" si="2">(E6+F6)</f>
        <v>0</v>
      </c>
      <c r="H6" s="283"/>
    </row>
    <row r="7" spans="1:9">
      <c r="A7" s="21"/>
      <c r="B7" s="29"/>
      <c r="C7" s="29"/>
      <c r="D7" s="26"/>
      <c r="E7" s="7">
        <f t="shared" si="0"/>
        <v>0</v>
      </c>
      <c r="F7" s="7">
        <f t="shared" si="1"/>
        <v>0</v>
      </c>
      <c r="G7" s="72">
        <f t="shared" si="2"/>
        <v>0</v>
      </c>
      <c r="H7" s="283"/>
    </row>
    <row r="8" spans="1:9">
      <c r="A8" s="21"/>
      <c r="B8" s="29"/>
      <c r="C8" s="29"/>
      <c r="D8" s="26"/>
      <c r="E8" s="7">
        <f t="shared" si="0"/>
        <v>0</v>
      </c>
      <c r="F8" s="7">
        <f t="shared" si="1"/>
        <v>0</v>
      </c>
      <c r="G8" s="72">
        <f t="shared" si="2"/>
        <v>0</v>
      </c>
      <c r="H8" s="283"/>
    </row>
    <row r="9" spans="1:9">
      <c r="A9" s="21"/>
      <c r="B9" s="29"/>
      <c r="C9" s="29"/>
      <c r="D9" s="26"/>
      <c r="E9" s="7">
        <f t="shared" si="0"/>
        <v>0</v>
      </c>
      <c r="F9" s="7">
        <f t="shared" si="1"/>
        <v>0</v>
      </c>
      <c r="G9" s="72">
        <f t="shared" si="2"/>
        <v>0</v>
      </c>
      <c r="H9" s="283"/>
    </row>
    <row r="10" spans="1:9">
      <c r="A10" s="21"/>
      <c r="B10" s="29"/>
      <c r="C10" s="29"/>
      <c r="D10" s="26"/>
      <c r="E10" s="7">
        <f t="shared" si="0"/>
        <v>0</v>
      </c>
      <c r="F10" s="7">
        <f t="shared" si="1"/>
        <v>0</v>
      </c>
      <c r="G10" s="72">
        <f t="shared" si="2"/>
        <v>0</v>
      </c>
      <c r="H10" s="283"/>
    </row>
    <row r="11" spans="1:9">
      <c r="A11" s="21"/>
      <c r="B11" s="29"/>
      <c r="C11" s="29"/>
      <c r="D11" s="26"/>
      <c r="E11" s="7">
        <f t="shared" si="0"/>
        <v>0</v>
      </c>
      <c r="F11" s="7">
        <f t="shared" si="1"/>
        <v>0</v>
      </c>
      <c r="G11" s="72">
        <f t="shared" si="2"/>
        <v>0</v>
      </c>
      <c r="H11" s="283"/>
    </row>
    <row r="12" spans="1:9">
      <c r="A12" s="21"/>
      <c r="B12" s="29"/>
      <c r="C12" s="29"/>
      <c r="D12" s="26"/>
      <c r="E12" s="7">
        <f t="shared" si="0"/>
        <v>0</v>
      </c>
      <c r="F12" s="7">
        <f t="shared" si="1"/>
        <v>0</v>
      </c>
      <c r="G12" s="72">
        <f t="shared" si="2"/>
        <v>0</v>
      </c>
      <c r="H12" s="283"/>
    </row>
    <row r="13" spans="1:9">
      <c r="A13" s="21"/>
      <c r="B13" s="29"/>
      <c r="C13" s="29"/>
      <c r="D13" s="25"/>
      <c r="E13" s="7">
        <f t="shared" si="0"/>
        <v>0</v>
      </c>
      <c r="F13" s="7">
        <f t="shared" si="1"/>
        <v>0</v>
      </c>
      <c r="G13" s="72">
        <f t="shared" si="2"/>
        <v>0</v>
      </c>
      <c r="H13" s="283"/>
    </row>
    <row r="14" spans="1:9">
      <c r="A14" s="21"/>
      <c r="B14" s="29"/>
      <c r="C14" s="29"/>
      <c r="D14" s="25"/>
      <c r="E14" s="7">
        <f t="shared" si="0"/>
        <v>0</v>
      </c>
      <c r="F14" s="7">
        <f t="shared" si="1"/>
        <v>0</v>
      </c>
      <c r="G14" s="72">
        <f t="shared" si="2"/>
        <v>0</v>
      </c>
      <c r="H14" s="283"/>
    </row>
    <row r="15" spans="1:9">
      <c r="A15" s="21"/>
      <c r="B15" s="29"/>
      <c r="C15" s="29"/>
      <c r="D15" s="25"/>
      <c r="E15" s="7">
        <f t="shared" si="0"/>
        <v>0</v>
      </c>
      <c r="F15" s="7">
        <f t="shared" si="1"/>
        <v>0</v>
      </c>
      <c r="G15" s="72">
        <f t="shared" si="2"/>
        <v>0</v>
      </c>
      <c r="H15" s="283"/>
    </row>
    <row r="16" spans="1:9">
      <c r="A16" s="21"/>
      <c r="B16" s="29"/>
      <c r="C16" s="29"/>
      <c r="D16" s="25"/>
      <c r="E16" s="7">
        <f t="shared" si="0"/>
        <v>0</v>
      </c>
      <c r="F16" s="7">
        <f t="shared" si="1"/>
        <v>0</v>
      </c>
      <c r="G16" s="72">
        <f t="shared" si="2"/>
        <v>0</v>
      </c>
      <c r="H16" s="283"/>
    </row>
    <row r="17" spans="1:8">
      <c r="A17" s="21"/>
      <c r="B17" s="29"/>
      <c r="C17" s="29"/>
      <c r="D17" s="25"/>
      <c r="E17" s="7">
        <f t="shared" si="0"/>
        <v>0</v>
      </c>
      <c r="F17" s="7">
        <f t="shared" si="1"/>
        <v>0</v>
      </c>
      <c r="G17" s="72">
        <f t="shared" si="2"/>
        <v>0</v>
      </c>
      <c r="H17" s="283"/>
    </row>
    <row r="18" spans="1:8">
      <c r="A18" s="21"/>
      <c r="B18" s="29"/>
      <c r="C18" s="29"/>
      <c r="D18" s="25"/>
      <c r="E18" s="7">
        <f t="shared" si="0"/>
        <v>0</v>
      </c>
      <c r="F18" s="7">
        <f t="shared" si="1"/>
        <v>0</v>
      </c>
      <c r="G18" s="72">
        <f t="shared" si="2"/>
        <v>0</v>
      </c>
      <c r="H18" s="283"/>
    </row>
    <row r="19" spans="1:8">
      <c r="A19" s="21"/>
      <c r="B19" s="29"/>
      <c r="C19" s="29"/>
      <c r="D19" s="25"/>
      <c r="E19" s="7">
        <f t="shared" si="0"/>
        <v>0</v>
      </c>
      <c r="F19" s="7">
        <f t="shared" si="1"/>
        <v>0</v>
      </c>
      <c r="G19" s="72">
        <f t="shared" si="2"/>
        <v>0</v>
      </c>
      <c r="H19" s="283"/>
    </row>
    <row r="20" spans="1:8">
      <c r="A20" s="21"/>
      <c r="B20" s="29"/>
      <c r="C20" s="29"/>
      <c r="D20" s="25"/>
      <c r="E20" s="7">
        <f t="shared" si="0"/>
        <v>0</v>
      </c>
      <c r="F20" s="7">
        <f t="shared" si="1"/>
        <v>0</v>
      </c>
      <c r="G20" s="72">
        <f t="shared" si="2"/>
        <v>0</v>
      </c>
      <c r="H20" s="283"/>
    </row>
    <row r="21" spans="1:8">
      <c r="A21" s="77"/>
      <c r="B21" s="29"/>
      <c r="C21" s="29"/>
      <c r="D21" s="78"/>
      <c r="E21" s="7">
        <f>(B21*D21)</f>
        <v>0</v>
      </c>
      <c r="F21" s="7">
        <f>(C21*D21)</f>
        <v>0</v>
      </c>
      <c r="G21" s="72">
        <f>(E21+F21)</f>
        <v>0</v>
      </c>
      <c r="H21" s="283"/>
    </row>
    <row r="22" spans="1:8">
      <c r="A22" s="77"/>
      <c r="B22" s="29"/>
      <c r="C22" s="29"/>
      <c r="D22" s="78"/>
      <c r="E22" s="7">
        <f>(B22*D22)</f>
        <v>0</v>
      </c>
      <c r="F22" s="7">
        <f>(C22*D22)</f>
        <v>0</v>
      </c>
      <c r="G22" s="72">
        <f>(E22+F22)</f>
        <v>0</v>
      </c>
      <c r="H22" s="283"/>
    </row>
    <row r="23" spans="1:8">
      <c r="A23" s="77"/>
      <c r="B23" s="29"/>
      <c r="C23" s="29"/>
      <c r="D23" s="78"/>
      <c r="E23" s="7">
        <f>(B23*D23)</f>
        <v>0</v>
      </c>
      <c r="F23" s="7">
        <f>(C23*D23)</f>
        <v>0</v>
      </c>
      <c r="G23" s="72">
        <f>(E23+F23)</f>
        <v>0</v>
      </c>
      <c r="H23" s="283"/>
    </row>
    <row r="24" spans="1:8">
      <c r="A24" s="77"/>
      <c r="B24" s="29"/>
      <c r="C24" s="29"/>
      <c r="D24" s="78"/>
      <c r="E24" s="7">
        <f>(B24*D24)</f>
        <v>0</v>
      </c>
      <c r="F24" s="7">
        <f>(C24*D24)</f>
        <v>0</v>
      </c>
      <c r="G24" s="72">
        <f>(E24+F24)</f>
        <v>0</v>
      </c>
      <c r="H24" s="283"/>
    </row>
    <row r="25" spans="1:8">
      <c r="A25" s="77"/>
      <c r="B25" s="29"/>
      <c r="C25" s="29"/>
      <c r="D25" s="78"/>
      <c r="E25" s="7">
        <f>(B25*D25)</f>
        <v>0</v>
      </c>
      <c r="F25" s="7">
        <f>(C25*D25)</f>
        <v>0</v>
      </c>
      <c r="G25" s="72">
        <f>(E25+F25)</f>
        <v>0</v>
      </c>
      <c r="H25" s="283"/>
    </row>
    <row r="26" spans="1:8" ht="10.5" customHeight="1">
      <c r="A26" s="242"/>
      <c r="B26" s="242"/>
      <c r="C26" s="242"/>
      <c r="D26" s="242"/>
      <c r="E26" s="242"/>
      <c r="F26" s="242"/>
      <c r="G26" s="242"/>
      <c r="H26" s="283"/>
    </row>
    <row r="27" spans="1:8" ht="15">
      <c r="A27" s="291" t="s">
        <v>121</v>
      </c>
      <c r="B27" s="292"/>
      <c r="C27" s="292"/>
      <c r="D27" s="293"/>
      <c r="E27" s="33">
        <f>SUM(E6:E25)</f>
        <v>0</v>
      </c>
      <c r="F27" s="33">
        <f>SUM(F6:F25)</f>
        <v>0</v>
      </c>
      <c r="G27" s="74">
        <f>(E27+F27)</f>
        <v>0</v>
      </c>
      <c r="H27" s="283"/>
    </row>
    <row r="28" spans="1:8" ht="15">
      <c r="A28" s="291" t="s">
        <v>122</v>
      </c>
      <c r="B28" s="292"/>
      <c r="C28" s="292"/>
      <c r="D28" s="293"/>
      <c r="E28" s="33">
        <f>E4</f>
        <v>0</v>
      </c>
      <c r="F28" s="33">
        <f>F4</f>
        <v>0</v>
      </c>
      <c r="G28" s="74">
        <f>E28+F28</f>
        <v>0</v>
      </c>
      <c r="H28" s="283"/>
    </row>
    <row r="29" spans="1:8" ht="15" customHeight="1">
      <c r="A29" s="294" t="s">
        <v>123</v>
      </c>
      <c r="B29" s="295"/>
      <c r="C29" s="295"/>
      <c r="D29" s="296"/>
      <c r="E29" s="46">
        <f>E27+E28</f>
        <v>0</v>
      </c>
      <c r="F29" s="46">
        <f>F27+F28</f>
        <v>0</v>
      </c>
      <c r="G29" s="73">
        <f>G27+G28</f>
        <v>0</v>
      </c>
      <c r="H29" s="283"/>
    </row>
    <row r="30" spans="1:8" ht="34.5" customHeight="1">
      <c r="A30" s="287" t="s">
        <v>124</v>
      </c>
      <c r="B30" s="288"/>
      <c r="C30" s="289"/>
      <c r="D30" s="119"/>
      <c r="E30" s="300"/>
      <c r="F30" s="301"/>
      <c r="G30" s="73">
        <f>(D30*D4)</f>
        <v>0</v>
      </c>
      <c r="H30" s="283"/>
    </row>
    <row r="31" spans="1:8" ht="11.25" customHeight="1">
      <c r="A31" s="248"/>
      <c r="B31" s="248"/>
      <c r="C31" s="248"/>
      <c r="D31" s="248"/>
      <c r="E31" s="248"/>
      <c r="F31" s="248"/>
      <c r="G31" s="248"/>
      <c r="H31" s="284"/>
    </row>
  </sheetData>
  <mergeCells count="18">
    <mergeCell ref="I2:I3"/>
    <mergeCell ref="E30:F30"/>
    <mergeCell ref="A28:D28"/>
    <mergeCell ref="A27:D27"/>
    <mergeCell ref="A29:D29"/>
    <mergeCell ref="B2:B3"/>
    <mergeCell ref="C2:C3"/>
    <mergeCell ref="A26:G26"/>
    <mergeCell ref="A5:G5"/>
    <mergeCell ref="H1:H31"/>
    <mergeCell ref="A31:G31"/>
    <mergeCell ref="A1:G1"/>
    <mergeCell ref="D2:D3"/>
    <mergeCell ref="E2:E3"/>
    <mergeCell ref="F2:F3"/>
    <mergeCell ref="G2:G3"/>
    <mergeCell ref="A2:A3"/>
    <mergeCell ref="A30:C30"/>
  </mergeCells>
  <phoneticPr fontId="7" type="noConversion"/>
  <printOptions gridLines="1"/>
  <pageMargins left="0.75" right="0.75" top="1" bottom="1" header="0.5" footer="0.5"/>
  <pageSetup scale="75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I31"/>
  <sheetViews>
    <sheetView workbookViewId="0">
      <pane ySplit="5" topLeftCell="A6" activePane="bottomLeft" state="frozen"/>
      <selection pane="bottomLeft" activeCell="I6" sqref="I6:I10"/>
    </sheetView>
  </sheetViews>
  <sheetFormatPr defaultRowHeight="12.75"/>
  <cols>
    <col min="1" max="1" width="31.5703125" customWidth="1"/>
    <col min="2" max="2" width="11.42578125" customWidth="1"/>
    <col min="3" max="3" width="10.140625" customWidth="1"/>
    <col min="4" max="4" width="10" customWidth="1"/>
    <col min="5" max="5" width="16" customWidth="1"/>
    <col min="6" max="6" width="13.28515625" customWidth="1"/>
    <col min="7" max="7" width="11.85546875" customWidth="1"/>
    <col min="8" max="8" width="1.85546875" customWidth="1"/>
    <col min="9" max="9" width="24.42578125" customWidth="1"/>
    <col min="10" max="10" width="2.140625" customWidth="1"/>
    <col min="11" max="11" width="2.28515625" customWidth="1"/>
    <col min="12" max="12" width="1.85546875" customWidth="1"/>
  </cols>
  <sheetData>
    <row r="1" spans="1:9" ht="33.75" customHeight="1">
      <c r="A1" s="278" t="s">
        <v>149</v>
      </c>
      <c r="B1" s="279"/>
      <c r="C1" s="279"/>
      <c r="D1" s="279"/>
      <c r="E1" s="279"/>
      <c r="F1" s="279"/>
      <c r="G1" s="280"/>
      <c r="H1" s="282"/>
      <c r="I1" s="90" t="s">
        <v>3</v>
      </c>
    </row>
    <row r="2" spans="1:9" ht="27.75" customHeight="1">
      <c r="A2" s="321" t="s">
        <v>114</v>
      </c>
      <c r="B2" s="276" t="s">
        <v>126</v>
      </c>
      <c r="C2" s="276" t="s">
        <v>127</v>
      </c>
      <c r="D2" s="276" t="s">
        <v>86</v>
      </c>
      <c r="E2" s="276" t="s">
        <v>117</v>
      </c>
      <c r="F2" s="276" t="s">
        <v>118</v>
      </c>
      <c r="G2" s="257" t="s">
        <v>150</v>
      </c>
      <c r="H2" s="283"/>
      <c r="I2" s="89" t="s">
        <v>57</v>
      </c>
    </row>
    <row r="3" spans="1:9" ht="19.5" customHeight="1">
      <c r="A3" s="322"/>
      <c r="B3" s="323"/>
      <c r="C3" s="323"/>
      <c r="D3" s="323"/>
      <c r="E3" s="277"/>
      <c r="F3" s="277"/>
      <c r="G3" s="297"/>
      <c r="H3" s="283"/>
      <c r="I3" s="89"/>
    </row>
    <row r="4" spans="1:9" ht="18" customHeight="1">
      <c r="A4" s="111" t="s">
        <v>151</v>
      </c>
      <c r="B4" s="46">
        <f>MACH1718!C147</f>
        <v>39.625599999999999</v>
      </c>
      <c r="C4" s="46">
        <f>MACH1718!D147</f>
        <v>8.19</v>
      </c>
      <c r="D4" s="79">
        <f>SUM(D6:D25)</f>
        <v>2.93</v>
      </c>
      <c r="E4" s="46">
        <f>(B4*D4)</f>
        <v>116.103008</v>
      </c>
      <c r="F4" s="46">
        <f>(C4*D4)</f>
        <v>23.996700000000001</v>
      </c>
      <c r="G4" s="73">
        <f>E4+F4</f>
        <v>140.09970799999999</v>
      </c>
      <c r="H4" s="283"/>
    </row>
    <row r="5" spans="1:9" ht="8.25" customHeight="1">
      <c r="A5" s="275"/>
      <c r="B5" s="275"/>
      <c r="C5" s="275"/>
      <c r="D5" s="275"/>
      <c r="E5" s="275"/>
      <c r="F5" s="275"/>
      <c r="G5" s="275"/>
      <c r="H5" s="283"/>
    </row>
    <row r="6" spans="1:9">
      <c r="A6" s="21" t="s">
        <v>100</v>
      </c>
      <c r="B6" s="29">
        <f>MACH1718!C24</f>
        <v>1.1712</v>
      </c>
      <c r="C6" s="29">
        <f>MACH1718!D24</f>
        <v>4.032</v>
      </c>
      <c r="D6" s="153">
        <v>0.33</v>
      </c>
      <c r="E6" s="7">
        <f t="shared" ref="E6:E17" si="0">(B6*D6)</f>
        <v>0.38649600000000001</v>
      </c>
      <c r="F6" s="7">
        <f t="shared" ref="F6:F17" si="1">(C6*D6)</f>
        <v>1.33056</v>
      </c>
      <c r="G6" s="72">
        <f t="shared" ref="G6:G17" si="2">(E6+F6)</f>
        <v>1.7170559999999999</v>
      </c>
      <c r="H6" s="283"/>
    </row>
    <row r="7" spans="1:9">
      <c r="A7" s="21" t="s">
        <v>152</v>
      </c>
      <c r="B7" s="29">
        <f>MACH1718!C65</f>
        <v>2.9279999999999999</v>
      </c>
      <c r="C7" s="29">
        <f>MACH1718!D65</f>
        <v>4.1454000000000004</v>
      </c>
      <c r="D7" s="32">
        <v>0.8</v>
      </c>
      <c r="E7" s="7">
        <f t="shared" si="0"/>
        <v>2.3424</v>
      </c>
      <c r="F7" s="7">
        <f t="shared" si="1"/>
        <v>3.3163200000000006</v>
      </c>
      <c r="G7" s="72">
        <f t="shared" si="2"/>
        <v>5.6587200000000006</v>
      </c>
      <c r="H7" s="283"/>
    </row>
    <row r="8" spans="1:9">
      <c r="A8" s="21" t="s">
        <v>153</v>
      </c>
      <c r="B8" s="29">
        <f>MACH1718!C71</f>
        <v>2.4521999999999995</v>
      </c>
      <c r="C8" s="29">
        <f>MACH1718!D71</f>
        <v>2.5451999999999999</v>
      </c>
      <c r="D8" s="32">
        <v>0.8</v>
      </c>
      <c r="E8" s="7">
        <f t="shared" si="0"/>
        <v>1.9617599999999997</v>
      </c>
      <c r="F8" s="7">
        <f t="shared" si="1"/>
        <v>2.0361600000000002</v>
      </c>
      <c r="G8" s="72">
        <f t="shared" si="2"/>
        <v>3.9979199999999997</v>
      </c>
      <c r="H8" s="283"/>
    </row>
    <row r="9" spans="1:9">
      <c r="A9" s="21" t="s">
        <v>154</v>
      </c>
      <c r="B9" s="29">
        <f>MACH1718!C68</f>
        <v>0.98820000000000008</v>
      </c>
      <c r="C9" s="29">
        <f>MACH1718!D68</f>
        <v>4.7879999999999994</v>
      </c>
      <c r="D9" s="32">
        <v>1</v>
      </c>
      <c r="E9" s="7">
        <f t="shared" si="0"/>
        <v>0.98820000000000008</v>
      </c>
      <c r="F9" s="7">
        <f t="shared" si="1"/>
        <v>4.7879999999999994</v>
      </c>
      <c r="G9" s="72">
        <f t="shared" si="2"/>
        <v>5.7761999999999993</v>
      </c>
      <c r="H9" s="283"/>
    </row>
    <row r="10" spans="1:9">
      <c r="A10" s="21"/>
      <c r="B10" s="29"/>
      <c r="C10" s="29"/>
      <c r="D10" s="26"/>
      <c r="E10" s="7">
        <f t="shared" si="0"/>
        <v>0</v>
      </c>
      <c r="F10" s="7">
        <f t="shared" si="1"/>
        <v>0</v>
      </c>
      <c r="G10" s="72">
        <f t="shared" si="2"/>
        <v>0</v>
      </c>
      <c r="H10" s="283"/>
    </row>
    <row r="11" spans="1:9">
      <c r="A11" s="21"/>
      <c r="B11" s="29"/>
      <c r="C11" s="29"/>
      <c r="D11" s="26"/>
      <c r="E11" s="7">
        <f t="shared" si="0"/>
        <v>0</v>
      </c>
      <c r="F11" s="7">
        <f t="shared" si="1"/>
        <v>0</v>
      </c>
      <c r="G11" s="72">
        <f t="shared" si="2"/>
        <v>0</v>
      </c>
      <c r="H11" s="283"/>
    </row>
    <row r="12" spans="1:9">
      <c r="A12" s="21"/>
      <c r="B12" s="29"/>
      <c r="C12" s="29"/>
      <c r="D12" s="26"/>
      <c r="E12" s="7">
        <f t="shared" si="0"/>
        <v>0</v>
      </c>
      <c r="F12" s="7">
        <f t="shared" si="1"/>
        <v>0</v>
      </c>
      <c r="G12" s="72">
        <f t="shared" si="2"/>
        <v>0</v>
      </c>
      <c r="H12" s="283"/>
    </row>
    <row r="13" spans="1:9">
      <c r="A13" s="21"/>
      <c r="B13" s="29"/>
      <c r="C13" s="29"/>
      <c r="D13" s="26"/>
      <c r="E13" s="7">
        <f t="shared" si="0"/>
        <v>0</v>
      </c>
      <c r="F13" s="7">
        <f t="shared" si="1"/>
        <v>0</v>
      </c>
      <c r="G13" s="72">
        <f t="shared" si="2"/>
        <v>0</v>
      </c>
      <c r="H13" s="283"/>
    </row>
    <row r="14" spans="1:9">
      <c r="A14" s="21"/>
      <c r="B14" s="29"/>
      <c r="C14" s="29"/>
      <c r="D14" s="26"/>
      <c r="E14" s="7">
        <f t="shared" si="0"/>
        <v>0</v>
      </c>
      <c r="F14" s="7">
        <f t="shared" si="1"/>
        <v>0</v>
      </c>
      <c r="G14" s="72">
        <f t="shared" si="2"/>
        <v>0</v>
      </c>
      <c r="H14" s="283"/>
    </row>
    <row r="15" spans="1:9">
      <c r="A15" s="21"/>
      <c r="B15" s="29"/>
      <c r="C15" s="29"/>
      <c r="D15" s="25"/>
      <c r="E15" s="7">
        <f t="shared" si="0"/>
        <v>0</v>
      </c>
      <c r="F15" s="7">
        <f t="shared" si="1"/>
        <v>0</v>
      </c>
      <c r="G15" s="72">
        <f t="shared" si="2"/>
        <v>0</v>
      </c>
      <c r="H15" s="283"/>
    </row>
    <row r="16" spans="1:9">
      <c r="A16" s="21"/>
      <c r="B16" s="29"/>
      <c r="C16" s="29"/>
      <c r="D16" s="25"/>
      <c r="E16" s="7">
        <f t="shared" si="0"/>
        <v>0</v>
      </c>
      <c r="F16" s="7">
        <f t="shared" si="1"/>
        <v>0</v>
      </c>
      <c r="G16" s="72">
        <f t="shared" si="2"/>
        <v>0</v>
      </c>
      <c r="H16" s="283"/>
    </row>
    <row r="17" spans="1:8">
      <c r="A17" s="21"/>
      <c r="B17" s="29"/>
      <c r="C17" s="29"/>
      <c r="D17" s="25"/>
      <c r="E17" s="7">
        <f t="shared" si="0"/>
        <v>0</v>
      </c>
      <c r="F17" s="7">
        <f t="shared" si="1"/>
        <v>0</v>
      </c>
      <c r="G17" s="72">
        <f t="shared" si="2"/>
        <v>0</v>
      </c>
      <c r="H17" s="283"/>
    </row>
    <row r="18" spans="1:8">
      <c r="A18" s="77"/>
      <c r="B18" s="29"/>
      <c r="C18" s="29"/>
      <c r="D18" s="78"/>
      <c r="E18" s="7">
        <f t="shared" ref="E18:E25" si="3">(B18*D18)</f>
        <v>0</v>
      </c>
      <c r="F18" s="7">
        <f t="shared" ref="F18:F25" si="4">(C18*D18)</f>
        <v>0</v>
      </c>
      <c r="G18" s="72">
        <f t="shared" ref="G18:G25" si="5">(E18+F18)</f>
        <v>0</v>
      </c>
      <c r="H18" s="283"/>
    </row>
    <row r="19" spans="1:8">
      <c r="A19" s="77"/>
      <c r="B19" s="29"/>
      <c r="C19" s="29"/>
      <c r="D19" s="78"/>
      <c r="E19" s="7">
        <f t="shared" si="3"/>
        <v>0</v>
      </c>
      <c r="F19" s="7">
        <f t="shared" si="4"/>
        <v>0</v>
      </c>
      <c r="G19" s="72">
        <f t="shared" si="5"/>
        <v>0</v>
      </c>
      <c r="H19" s="283"/>
    </row>
    <row r="20" spans="1:8">
      <c r="A20" s="77"/>
      <c r="B20" s="29"/>
      <c r="C20" s="29"/>
      <c r="D20" s="78"/>
      <c r="E20" s="7">
        <f t="shared" si="3"/>
        <v>0</v>
      </c>
      <c r="F20" s="7">
        <f t="shared" si="4"/>
        <v>0</v>
      </c>
      <c r="G20" s="72">
        <f t="shared" si="5"/>
        <v>0</v>
      </c>
      <c r="H20" s="283"/>
    </row>
    <row r="21" spans="1:8">
      <c r="A21" s="77"/>
      <c r="B21" s="29"/>
      <c r="C21" s="29"/>
      <c r="D21" s="78"/>
      <c r="E21" s="7">
        <f t="shared" si="3"/>
        <v>0</v>
      </c>
      <c r="F21" s="7">
        <f t="shared" si="4"/>
        <v>0</v>
      </c>
      <c r="G21" s="72">
        <f t="shared" si="5"/>
        <v>0</v>
      </c>
      <c r="H21" s="283"/>
    </row>
    <row r="22" spans="1:8">
      <c r="A22" s="77"/>
      <c r="B22" s="29"/>
      <c r="C22" s="29"/>
      <c r="D22" s="78"/>
      <c r="E22" s="7">
        <f t="shared" si="3"/>
        <v>0</v>
      </c>
      <c r="F22" s="7">
        <f t="shared" si="4"/>
        <v>0</v>
      </c>
      <c r="G22" s="72">
        <f t="shared" si="5"/>
        <v>0</v>
      </c>
      <c r="H22" s="283"/>
    </row>
    <row r="23" spans="1:8">
      <c r="A23" s="77"/>
      <c r="B23" s="29"/>
      <c r="C23" s="29"/>
      <c r="D23" s="78"/>
      <c r="E23" s="7">
        <f t="shared" si="3"/>
        <v>0</v>
      </c>
      <c r="F23" s="7">
        <f t="shared" si="4"/>
        <v>0</v>
      </c>
      <c r="G23" s="72">
        <f t="shared" si="5"/>
        <v>0</v>
      </c>
      <c r="H23" s="283"/>
    </row>
    <row r="24" spans="1:8">
      <c r="A24" s="77"/>
      <c r="B24" s="29"/>
      <c r="C24" s="29"/>
      <c r="D24" s="78"/>
      <c r="E24" s="7">
        <f t="shared" si="3"/>
        <v>0</v>
      </c>
      <c r="F24" s="7">
        <f t="shared" si="4"/>
        <v>0</v>
      </c>
      <c r="G24" s="72">
        <f t="shared" si="5"/>
        <v>0</v>
      </c>
      <c r="H24" s="283"/>
    </row>
    <row r="25" spans="1:8">
      <c r="A25" s="77"/>
      <c r="B25" s="29"/>
      <c r="C25" s="29"/>
      <c r="D25" s="78"/>
      <c r="E25" s="7">
        <f t="shared" si="3"/>
        <v>0</v>
      </c>
      <c r="F25" s="7">
        <f t="shared" si="4"/>
        <v>0</v>
      </c>
      <c r="G25" s="72">
        <f t="shared" si="5"/>
        <v>0</v>
      </c>
      <c r="H25" s="283"/>
    </row>
    <row r="26" spans="1:8" ht="10.5" customHeight="1">
      <c r="A26" s="242"/>
      <c r="B26" s="242"/>
      <c r="C26" s="242"/>
      <c r="D26" s="242"/>
      <c r="E26" s="242"/>
      <c r="F26" s="242"/>
      <c r="G26" s="242"/>
      <c r="H26" s="283"/>
    </row>
    <row r="27" spans="1:8" ht="15">
      <c r="A27" s="291" t="s">
        <v>121</v>
      </c>
      <c r="B27" s="292"/>
      <c r="C27" s="292"/>
      <c r="D27" s="293"/>
      <c r="E27" s="33">
        <f>SUM(E6:E25)</f>
        <v>5.6788559999999997</v>
      </c>
      <c r="F27" s="33">
        <f>SUM(F6:F25)</f>
        <v>11.471039999999999</v>
      </c>
      <c r="G27" s="74">
        <f>(E27+F27)</f>
        <v>17.149895999999998</v>
      </c>
      <c r="H27" s="283"/>
    </row>
    <row r="28" spans="1:8" ht="15">
      <c r="A28" s="291" t="s">
        <v>122</v>
      </c>
      <c r="B28" s="292"/>
      <c r="C28" s="292"/>
      <c r="D28" s="293"/>
      <c r="E28" s="33">
        <f>E4</f>
        <v>116.103008</v>
      </c>
      <c r="F28" s="33">
        <f>F4</f>
        <v>23.996700000000001</v>
      </c>
      <c r="G28" s="74">
        <f>E28+F28</f>
        <v>140.09970799999999</v>
      </c>
      <c r="H28" s="283"/>
    </row>
    <row r="29" spans="1:8" ht="15" customHeight="1">
      <c r="A29" s="294" t="s">
        <v>123</v>
      </c>
      <c r="B29" s="295"/>
      <c r="C29" s="295"/>
      <c r="D29" s="296"/>
      <c r="E29" s="46">
        <f>E27+E28</f>
        <v>121.781864</v>
      </c>
      <c r="F29" s="46">
        <f>F27+F28</f>
        <v>35.467739999999999</v>
      </c>
      <c r="G29" s="73">
        <f>G27+G28</f>
        <v>157.24960399999998</v>
      </c>
      <c r="H29" s="283"/>
    </row>
    <row r="30" spans="1:8" ht="33.75" customHeight="1">
      <c r="A30" s="287" t="s">
        <v>124</v>
      </c>
      <c r="B30" s="324"/>
      <c r="C30" s="325"/>
      <c r="D30" s="119">
        <v>20</v>
      </c>
      <c r="E30" s="300"/>
      <c r="F30" s="301"/>
      <c r="G30" s="73">
        <f>(D30*D4)</f>
        <v>58.6</v>
      </c>
      <c r="H30" s="283"/>
    </row>
    <row r="31" spans="1:8" ht="9.75" customHeight="1">
      <c r="A31" s="248"/>
      <c r="B31" s="248"/>
      <c r="C31" s="248"/>
      <c r="D31" s="248"/>
      <c r="E31" s="248"/>
      <c r="F31" s="248"/>
      <c r="G31" s="248"/>
      <c r="H31" s="284"/>
    </row>
  </sheetData>
  <mergeCells count="17">
    <mergeCell ref="A30:C30"/>
    <mergeCell ref="H1:H31"/>
    <mergeCell ref="A31:G31"/>
    <mergeCell ref="A26:G26"/>
    <mergeCell ref="A5:G5"/>
    <mergeCell ref="G2:G3"/>
    <mergeCell ref="A1:G1"/>
    <mergeCell ref="A2:A3"/>
    <mergeCell ref="B2:B3"/>
    <mergeCell ref="C2:C3"/>
    <mergeCell ref="D2:D3"/>
    <mergeCell ref="E2:E3"/>
    <mergeCell ref="F2:F3"/>
    <mergeCell ref="E30:F30"/>
    <mergeCell ref="A27:D27"/>
    <mergeCell ref="A28:D28"/>
    <mergeCell ref="A29:D29"/>
  </mergeCells>
  <phoneticPr fontId="7" type="noConversion"/>
  <printOptions verticalCentered="1" gridLines="1"/>
  <pageMargins left="0" right="0" top="0" bottom="0" header="0" footer="0"/>
  <pageSetup orientation="landscape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2060"/>
  </sheetPr>
  <dimension ref="A1:I31"/>
  <sheetViews>
    <sheetView workbookViewId="0">
      <pane ySplit="5" topLeftCell="A6" activePane="bottomLeft" state="frozen"/>
      <selection pane="bottomLeft" activeCell="B4" sqref="B4"/>
    </sheetView>
  </sheetViews>
  <sheetFormatPr defaultRowHeight="12.75"/>
  <cols>
    <col min="1" max="1" width="28.5703125" customWidth="1"/>
    <col min="2" max="2" width="12.140625" customWidth="1"/>
    <col min="3" max="3" width="10.7109375" customWidth="1"/>
    <col min="4" max="4" width="9.5703125" customWidth="1"/>
    <col min="5" max="5" width="16.140625" customWidth="1"/>
    <col min="6" max="6" width="12.7109375" customWidth="1"/>
    <col min="7" max="7" width="13.5703125" customWidth="1"/>
    <col min="8" max="8" width="1.85546875" customWidth="1"/>
    <col min="9" max="9" width="25.28515625" customWidth="1"/>
  </cols>
  <sheetData>
    <row r="1" spans="1:9" ht="37.5" customHeight="1">
      <c r="A1" s="312" t="s">
        <v>155</v>
      </c>
      <c r="B1" s="312"/>
      <c r="C1" s="312"/>
      <c r="D1" s="312"/>
      <c r="E1" s="312"/>
      <c r="F1" s="312"/>
      <c r="G1" s="313"/>
      <c r="H1" s="282"/>
      <c r="I1" s="90" t="s">
        <v>3</v>
      </c>
    </row>
    <row r="2" spans="1:9" ht="12.75" customHeight="1">
      <c r="A2" s="265" t="s">
        <v>114</v>
      </c>
      <c r="B2" s="276" t="s">
        <v>115</v>
      </c>
      <c r="C2" s="276" t="s">
        <v>116</v>
      </c>
      <c r="D2" s="327" t="s">
        <v>86</v>
      </c>
      <c r="E2" s="276" t="s">
        <v>117</v>
      </c>
      <c r="F2" s="276" t="s">
        <v>156</v>
      </c>
      <c r="G2" s="257" t="s">
        <v>119</v>
      </c>
      <c r="H2" s="283"/>
      <c r="I2" s="290" t="s">
        <v>57</v>
      </c>
    </row>
    <row r="3" spans="1:9" ht="24.75" customHeight="1">
      <c r="A3" s="326"/>
      <c r="B3" s="277"/>
      <c r="C3" s="277"/>
      <c r="D3" s="328"/>
      <c r="E3" s="277"/>
      <c r="F3" s="277"/>
      <c r="G3" s="297"/>
      <c r="H3" s="283"/>
      <c r="I3" s="290"/>
    </row>
    <row r="4" spans="1:9" ht="15">
      <c r="A4" s="10" t="s">
        <v>157</v>
      </c>
      <c r="B4" s="136">
        <f>MACH1718!C148</f>
        <v>41.138399999999997</v>
      </c>
      <c r="C4" s="136">
        <f>MACH1718!D148</f>
        <v>8.4168000000000003</v>
      </c>
      <c r="D4" s="79">
        <f>SUM(D6:D25)</f>
        <v>0</v>
      </c>
      <c r="E4" s="136">
        <f>(B4*D4)</f>
        <v>0</v>
      </c>
      <c r="F4" s="136">
        <f>(C4*D4)</f>
        <v>0</v>
      </c>
      <c r="G4" s="121">
        <f>(E4+F4)</f>
        <v>0</v>
      </c>
      <c r="H4" s="283"/>
      <c r="I4" s="91"/>
    </row>
    <row r="5" spans="1:9" ht="9.75" customHeight="1">
      <c r="A5" s="275"/>
      <c r="B5" s="275"/>
      <c r="C5" s="275"/>
      <c r="D5" s="275"/>
      <c r="E5" s="275"/>
      <c r="F5" s="275"/>
      <c r="G5" s="275"/>
      <c r="H5" s="283"/>
    </row>
    <row r="6" spans="1:9">
      <c r="A6" s="21"/>
      <c r="B6" s="29"/>
      <c r="C6" s="29"/>
      <c r="D6" s="26"/>
      <c r="E6" s="7">
        <f t="shared" ref="E6:E20" si="0">(B6*D6)</f>
        <v>0</v>
      </c>
      <c r="F6" s="7">
        <f t="shared" ref="F6:F20" si="1">(C6*D6)</f>
        <v>0</v>
      </c>
      <c r="G6" s="72">
        <f t="shared" ref="G6:G20" si="2">(E6+F6)</f>
        <v>0</v>
      </c>
      <c r="H6" s="283"/>
    </row>
    <row r="7" spans="1:9">
      <c r="A7" s="21"/>
      <c r="B7" s="29"/>
      <c r="C7" s="29"/>
      <c r="D7" s="26"/>
      <c r="E7" s="7">
        <f t="shared" si="0"/>
        <v>0</v>
      </c>
      <c r="F7" s="7">
        <f t="shared" si="1"/>
        <v>0</v>
      </c>
      <c r="G7" s="72">
        <f t="shared" si="2"/>
        <v>0</v>
      </c>
      <c r="H7" s="283"/>
    </row>
    <row r="8" spans="1:9">
      <c r="A8" s="21"/>
      <c r="B8" s="29"/>
      <c r="C8" s="29"/>
      <c r="D8" s="26"/>
      <c r="E8" s="7">
        <f t="shared" si="0"/>
        <v>0</v>
      </c>
      <c r="F8" s="7">
        <f t="shared" si="1"/>
        <v>0</v>
      </c>
      <c r="G8" s="72">
        <f t="shared" si="2"/>
        <v>0</v>
      </c>
      <c r="H8" s="283"/>
    </row>
    <row r="9" spans="1:9">
      <c r="A9" s="21"/>
      <c r="B9" s="29"/>
      <c r="C9" s="29"/>
      <c r="D9" s="26"/>
      <c r="E9" s="7">
        <f t="shared" si="0"/>
        <v>0</v>
      </c>
      <c r="F9" s="7">
        <f t="shared" si="1"/>
        <v>0</v>
      </c>
      <c r="G9" s="72">
        <f t="shared" si="2"/>
        <v>0</v>
      </c>
      <c r="H9" s="283"/>
    </row>
    <row r="10" spans="1:9">
      <c r="A10" s="21"/>
      <c r="B10" s="29"/>
      <c r="C10" s="29"/>
      <c r="D10" s="26"/>
      <c r="E10" s="7">
        <f t="shared" si="0"/>
        <v>0</v>
      </c>
      <c r="F10" s="7">
        <f t="shared" si="1"/>
        <v>0</v>
      </c>
      <c r="G10" s="72">
        <f t="shared" si="2"/>
        <v>0</v>
      </c>
      <c r="H10" s="283"/>
    </row>
    <row r="11" spans="1:9">
      <c r="A11" s="21"/>
      <c r="B11" s="29"/>
      <c r="C11" s="29"/>
      <c r="D11" s="26"/>
      <c r="E11" s="7">
        <f t="shared" si="0"/>
        <v>0</v>
      </c>
      <c r="F11" s="7">
        <f t="shared" si="1"/>
        <v>0</v>
      </c>
      <c r="G11" s="72">
        <f t="shared" si="2"/>
        <v>0</v>
      </c>
      <c r="H11" s="283"/>
    </row>
    <row r="12" spans="1:9">
      <c r="A12" s="21"/>
      <c r="B12" s="29"/>
      <c r="C12" s="29"/>
      <c r="D12" s="26"/>
      <c r="E12" s="7">
        <f t="shared" si="0"/>
        <v>0</v>
      </c>
      <c r="F12" s="7">
        <f t="shared" si="1"/>
        <v>0</v>
      </c>
      <c r="G12" s="72">
        <f t="shared" si="2"/>
        <v>0</v>
      </c>
      <c r="H12" s="283"/>
    </row>
    <row r="13" spans="1:9">
      <c r="A13" s="21"/>
      <c r="B13" s="29"/>
      <c r="C13" s="29"/>
      <c r="D13" s="25"/>
      <c r="E13" s="7">
        <f t="shared" si="0"/>
        <v>0</v>
      </c>
      <c r="F13" s="7">
        <f t="shared" si="1"/>
        <v>0</v>
      </c>
      <c r="G13" s="72">
        <f t="shared" si="2"/>
        <v>0</v>
      </c>
      <c r="H13" s="283"/>
    </row>
    <row r="14" spans="1:9">
      <c r="A14" s="21"/>
      <c r="B14" s="29"/>
      <c r="C14" s="29"/>
      <c r="D14" s="25"/>
      <c r="E14" s="7">
        <f t="shared" si="0"/>
        <v>0</v>
      </c>
      <c r="F14" s="7">
        <f t="shared" si="1"/>
        <v>0</v>
      </c>
      <c r="G14" s="72">
        <f t="shared" si="2"/>
        <v>0</v>
      </c>
      <c r="H14" s="283"/>
    </row>
    <row r="15" spans="1:9">
      <c r="A15" s="21"/>
      <c r="B15" s="29"/>
      <c r="C15" s="29"/>
      <c r="D15" s="25"/>
      <c r="E15" s="7">
        <f t="shared" si="0"/>
        <v>0</v>
      </c>
      <c r="F15" s="7">
        <f t="shared" si="1"/>
        <v>0</v>
      </c>
      <c r="G15" s="72">
        <f t="shared" si="2"/>
        <v>0</v>
      </c>
      <c r="H15" s="283"/>
    </row>
    <row r="16" spans="1:9">
      <c r="A16" s="21"/>
      <c r="B16" s="29"/>
      <c r="C16" s="29"/>
      <c r="D16" s="25"/>
      <c r="E16" s="7">
        <f t="shared" si="0"/>
        <v>0</v>
      </c>
      <c r="F16" s="7">
        <f t="shared" si="1"/>
        <v>0</v>
      </c>
      <c r="G16" s="72">
        <f t="shared" si="2"/>
        <v>0</v>
      </c>
      <c r="H16" s="283"/>
    </row>
    <row r="17" spans="1:8">
      <c r="A17" s="21"/>
      <c r="B17" s="29"/>
      <c r="C17" s="29"/>
      <c r="D17" s="25"/>
      <c r="E17" s="7">
        <f t="shared" si="0"/>
        <v>0</v>
      </c>
      <c r="F17" s="7">
        <f t="shared" si="1"/>
        <v>0</v>
      </c>
      <c r="G17" s="72">
        <f t="shared" si="2"/>
        <v>0</v>
      </c>
      <c r="H17" s="283"/>
    </row>
    <row r="18" spans="1:8">
      <c r="A18" s="21"/>
      <c r="B18" s="29"/>
      <c r="C18" s="29"/>
      <c r="D18" s="25"/>
      <c r="E18" s="7">
        <f t="shared" si="0"/>
        <v>0</v>
      </c>
      <c r="F18" s="7">
        <f t="shared" si="1"/>
        <v>0</v>
      </c>
      <c r="G18" s="72">
        <f t="shared" si="2"/>
        <v>0</v>
      </c>
      <c r="H18" s="283"/>
    </row>
    <row r="19" spans="1:8">
      <c r="A19" s="21"/>
      <c r="B19" s="29"/>
      <c r="C19" s="29"/>
      <c r="D19" s="25"/>
      <c r="E19" s="7">
        <f t="shared" si="0"/>
        <v>0</v>
      </c>
      <c r="F19" s="7">
        <f t="shared" si="1"/>
        <v>0</v>
      </c>
      <c r="G19" s="72">
        <f t="shared" si="2"/>
        <v>0</v>
      </c>
      <c r="H19" s="283"/>
    </row>
    <row r="20" spans="1:8">
      <c r="A20" s="21"/>
      <c r="B20" s="29"/>
      <c r="C20" s="29"/>
      <c r="D20" s="25"/>
      <c r="E20" s="7">
        <f t="shared" si="0"/>
        <v>0</v>
      </c>
      <c r="F20" s="7">
        <f t="shared" si="1"/>
        <v>0</v>
      </c>
      <c r="G20" s="72">
        <f t="shared" si="2"/>
        <v>0</v>
      </c>
      <c r="H20" s="283"/>
    </row>
    <row r="21" spans="1:8">
      <c r="A21" s="77"/>
      <c r="B21" s="29"/>
      <c r="C21" s="29"/>
      <c r="D21" s="78"/>
      <c r="E21" s="7">
        <f>(B21*D21)</f>
        <v>0</v>
      </c>
      <c r="F21" s="7">
        <f>(C21*D21)</f>
        <v>0</v>
      </c>
      <c r="G21" s="72">
        <f>(E21+F21)</f>
        <v>0</v>
      </c>
      <c r="H21" s="283"/>
    </row>
    <row r="22" spans="1:8">
      <c r="A22" s="77"/>
      <c r="B22" s="29"/>
      <c r="C22" s="29"/>
      <c r="D22" s="78"/>
      <c r="E22" s="7">
        <f>(B22*D22)</f>
        <v>0</v>
      </c>
      <c r="F22" s="7">
        <f>(C22*D22)</f>
        <v>0</v>
      </c>
      <c r="G22" s="72">
        <f>(E22+F22)</f>
        <v>0</v>
      </c>
      <c r="H22" s="283"/>
    </row>
    <row r="23" spans="1:8">
      <c r="A23" s="77"/>
      <c r="B23" s="29"/>
      <c r="C23" s="29"/>
      <c r="D23" s="78"/>
      <c r="E23" s="7">
        <f>(B23*D23)</f>
        <v>0</v>
      </c>
      <c r="F23" s="7">
        <f>(C23*D23)</f>
        <v>0</v>
      </c>
      <c r="G23" s="72">
        <f>(E23+F23)</f>
        <v>0</v>
      </c>
      <c r="H23" s="283"/>
    </row>
    <row r="24" spans="1:8">
      <c r="A24" s="77"/>
      <c r="B24" s="29"/>
      <c r="C24" s="29"/>
      <c r="D24" s="78"/>
      <c r="E24" s="7">
        <f>(B24*D24)</f>
        <v>0</v>
      </c>
      <c r="F24" s="7">
        <f>(C24*D24)</f>
        <v>0</v>
      </c>
      <c r="G24" s="72">
        <f>(E24+F24)</f>
        <v>0</v>
      </c>
      <c r="H24" s="283"/>
    </row>
    <row r="25" spans="1:8">
      <c r="A25" s="77"/>
      <c r="B25" s="29"/>
      <c r="C25" s="29"/>
      <c r="D25" s="78"/>
      <c r="E25" s="7">
        <f>(B25*D25)</f>
        <v>0</v>
      </c>
      <c r="F25" s="7">
        <f>(C25*D25)</f>
        <v>0</v>
      </c>
      <c r="G25" s="72">
        <f>(E25+F25)</f>
        <v>0</v>
      </c>
      <c r="H25" s="283"/>
    </row>
    <row r="26" spans="1:8" ht="10.5" customHeight="1">
      <c r="A26" s="242"/>
      <c r="B26" s="242"/>
      <c r="C26" s="242"/>
      <c r="D26" s="242"/>
      <c r="E26" s="242"/>
      <c r="F26" s="242"/>
      <c r="G26" s="242"/>
      <c r="H26" s="283"/>
    </row>
    <row r="27" spans="1:8" ht="15">
      <c r="A27" s="291" t="s">
        <v>158</v>
      </c>
      <c r="B27" s="292"/>
      <c r="C27" s="292"/>
      <c r="D27" s="293"/>
      <c r="E27" s="33">
        <f>SUM(E6:E25)</f>
        <v>0</v>
      </c>
      <c r="F27" s="33">
        <f>SUM(F6:F25)</f>
        <v>0</v>
      </c>
      <c r="G27" s="74">
        <f>(E27+F27)</f>
        <v>0</v>
      </c>
      <c r="H27" s="283"/>
    </row>
    <row r="28" spans="1:8" ht="15">
      <c r="A28" s="291" t="s">
        <v>122</v>
      </c>
      <c r="B28" s="292"/>
      <c r="C28" s="292"/>
      <c r="D28" s="293"/>
      <c r="E28" s="33">
        <f>E4</f>
        <v>0</v>
      </c>
      <c r="F28" s="33">
        <f>F4</f>
        <v>0</v>
      </c>
      <c r="G28" s="74">
        <f>E28+F28</f>
        <v>0</v>
      </c>
      <c r="H28" s="283"/>
    </row>
    <row r="29" spans="1:8" ht="15" customHeight="1">
      <c r="A29" s="294" t="s">
        <v>123</v>
      </c>
      <c r="B29" s="295"/>
      <c r="C29" s="295"/>
      <c r="D29" s="296"/>
      <c r="E29" s="46">
        <f>E27+E28</f>
        <v>0</v>
      </c>
      <c r="F29" s="46">
        <f>F27+F28</f>
        <v>0</v>
      </c>
      <c r="G29" s="73">
        <f>G27+G28</f>
        <v>0</v>
      </c>
      <c r="H29" s="283"/>
    </row>
    <row r="30" spans="1:8" ht="33.75" customHeight="1">
      <c r="A30" s="287" t="s">
        <v>124</v>
      </c>
      <c r="B30" s="288"/>
      <c r="C30" s="289"/>
      <c r="D30" s="119"/>
      <c r="E30" s="300"/>
      <c r="F30" s="301"/>
      <c r="G30" s="73">
        <f>(D30*D4)</f>
        <v>0</v>
      </c>
      <c r="H30" s="283"/>
    </row>
    <row r="31" spans="1:8" ht="9.75" customHeight="1">
      <c r="A31" s="248"/>
      <c r="B31" s="248"/>
      <c r="C31" s="248"/>
      <c r="D31" s="248"/>
      <c r="E31" s="248"/>
      <c r="F31" s="248"/>
      <c r="G31" s="248"/>
      <c r="H31" s="284"/>
    </row>
  </sheetData>
  <mergeCells count="18">
    <mergeCell ref="E2:E3"/>
    <mergeCell ref="A5:G5"/>
    <mergeCell ref="H1:H31"/>
    <mergeCell ref="A31:G31"/>
    <mergeCell ref="A26:G26"/>
    <mergeCell ref="I2:I3"/>
    <mergeCell ref="A1:G1"/>
    <mergeCell ref="A30:C30"/>
    <mergeCell ref="F2:F3"/>
    <mergeCell ref="G2:G3"/>
    <mergeCell ref="A2:A3"/>
    <mergeCell ref="B2:B3"/>
    <mergeCell ref="A27:D27"/>
    <mergeCell ref="A28:D28"/>
    <mergeCell ref="A29:D29"/>
    <mergeCell ref="E30:F30"/>
    <mergeCell ref="C2:C3"/>
    <mergeCell ref="D2:D3"/>
  </mergeCells>
  <phoneticPr fontId="7" type="noConversion"/>
  <printOptions verticalCentered="1" gridLines="1"/>
  <pageMargins left="0" right="0" top="0" bottom="0" header="0" footer="0"/>
  <pageSetup orientation="landscape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2060"/>
  </sheetPr>
  <dimension ref="A1:I31"/>
  <sheetViews>
    <sheetView workbookViewId="0">
      <pane ySplit="5" topLeftCell="A6" activePane="bottomLeft" state="frozen"/>
      <selection pane="bottomLeft" activeCell="B4" sqref="B4"/>
    </sheetView>
  </sheetViews>
  <sheetFormatPr defaultRowHeight="12.75"/>
  <cols>
    <col min="1" max="1" width="27.140625" customWidth="1"/>
    <col min="2" max="2" width="11.7109375" customWidth="1"/>
    <col min="3" max="3" width="10.42578125" customWidth="1"/>
    <col min="4" max="4" width="10.7109375" customWidth="1"/>
    <col min="5" max="5" width="15.7109375" customWidth="1"/>
    <col min="6" max="6" width="14.140625" customWidth="1"/>
    <col min="7" max="7" width="13.5703125" customWidth="1"/>
    <col min="8" max="8" width="1.85546875" customWidth="1"/>
    <col min="9" max="9" width="24.140625" customWidth="1"/>
  </cols>
  <sheetData>
    <row r="1" spans="1:9" ht="30" customHeight="1">
      <c r="A1" s="278" t="s">
        <v>159</v>
      </c>
      <c r="B1" s="279"/>
      <c r="C1" s="279"/>
      <c r="D1" s="279"/>
      <c r="E1" s="279"/>
      <c r="F1" s="279"/>
      <c r="G1" s="280"/>
      <c r="H1" s="282"/>
      <c r="I1" s="90" t="s">
        <v>3</v>
      </c>
    </row>
    <row r="2" spans="1:9" ht="21" customHeight="1">
      <c r="A2" s="298" t="s">
        <v>114</v>
      </c>
      <c r="B2" s="329" t="s">
        <v>126</v>
      </c>
      <c r="C2" s="276" t="s">
        <v>127</v>
      </c>
      <c r="D2" s="276" t="s">
        <v>86</v>
      </c>
      <c r="E2" s="276" t="s">
        <v>117</v>
      </c>
      <c r="F2" s="276" t="s">
        <v>118</v>
      </c>
      <c r="G2" s="257" t="s">
        <v>150</v>
      </c>
      <c r="H2" s="283"/>
      <c r="I2" s="290" t="s">
        <v>57</v>
      </c>
    </row>
    <row r="3" spans="1:9" ht="17.25" customHeight="1">
      <c r="A3" s="332"/>
      <c r="B3" s="330"/>
      <c r="C3" s="331"/>
      <c r="D3" s="331"/>
      <c r="E3" s="331"/>
      <c r="F3" s="331"/>
      <c r="G3" s="333"/>
      <c r="H3" s="283"/>
      <c r="I3" s="290"/>
    </row>
    <row r="4" spans="1:9" ht="15" customHeight="1">
      <c r="A4" s="112" t="s">
        <v>160</v>
      </c>
      <c r="B4" s="46">
        <f>MACH1718!C149</f>
        <v>44.200599999999994</v>
      </c>
      <c r="C4" s="46">
        <f>MACH1718!D149</f>
        <v>8.8829999999999991</v>
      </c>
      <c r="D4" s="79">
        <f>SUM(D6:D25)</f>
        <v>0</v>
      </c>
      <c r="E4" s="46">
        <f>(B4*D4)</f>
        <v>0</v>
      </c>
      <c r="F4" s="46">
        <f>(C4*D4)</f>
        <v>0</v>
      </c>
      <c r="G4" s="73">
        <f>(E4+F4)</f>
        <v>0</v>
      </c>
      <c r="H4" s="283"/>
    </row>
    <row r="5" spans="1:9" ht="11.25" customHeight="1">
      <c r="A5" s="275"/>
      <c r="B5" s="275"/>
      <c r="C5" s="275"/>
      <c r="D5" s="275"/>
      <c r="E5" s="275"/>
      <c r="F5" s="275"/>
      <c r="G5" s="275"/>
      <c r="H5" s="283"/>
    </row>
    <row r="6" spans="1:9">
      <c r="A6" s="21"/>
      <c r="B6" s="29"/>
      <c r="C6" s="29"/>
      <c r="D6" s="26"/>
      <c r="E6" s="7">
        <f t="shared" ref="E6:E17" si="0">(B6*D6)</f>
        <v>0</v>
      </c>
      <c r="F6" s="7">
        <f t="shared" ref="F6:F17" si="1">(C6*D6)</f>
        <v>0</v>
      </c>
      <c r="G6" s="72">
        <f t="shared" ref="G6:G17" si="2">(E6+F6)</f>
        <v>0</v>
      </c>
      <c r="H6" s="283"/>
    </row>
    <row r="7" spans="1:9">
      <c r="A7" s="21"/>
      <c r="B7" s="29"/>
      <c r="C7" s="29"/>
      <c r="D7" s="26"/>
      <c r="E7" s="7">
        <f t="shared" si="0"/>
        <v>0</v>
      </c>
      <c r="F7" s="7">
        <f t="shared" si="1"/>
        <v>0</v>
      </c>
      <c r="G7" s="72">
        <f t="shared" si="2"/>
        <v>0</v>
      </c>
      <c r="H7" s="283"/>
    </row>
    <row r="8" spans="1:9">
      <c r="A8" s="21"/>
      <c r="B8" s="29"/>
      <c r="C8" s="29"/>
      <c r="D8" s="26"/>
      <c r="E8" s="7">
        <f t="shared" si="0"/>
        <v>0</v>
      </c>
      <c r="F8" s="7">
        <f t="shared" si="1"/>
        <v>0</v>
      </c>
      <c r="G8" s="72">
        <f t="shared" si="2"/>
        <v>0</v>
      </c>
      <c r="H8" s="283"/>
    </row>
    <row r="9" spans="1:9">
      <c r="A9" s="21"/>
      <c r="B9" s="29"/>
      <c r="C9" s="29"/>
      <c r="D9" s="26"/>
      <c r="E9" s="7">
        <f t="shared" si="0"/>
        <v>0</v>
      </c>
      <c r="F9" s="7">
        <f t="shared" si="1"/>
        <v>0</v>
      </c>
      <c r="G9" s="72">
        <f t="shared" si="2"/>
        <v>0</v>
      </c>
      <c r="H9" s="283"/>
    </row>
    <row r="10" spans="1:9">
      <c r="A10" s="21"/>
      <c r="B10" s="29"/>
      <c r="C10" s="29"/>
      <c r="D10" s="26"/>
      <c r="E10" s="7">
        <f t="shared" si="0"/>
        <v>0</v>
      </c>
      <c r="F10" s="7">
        <f t="shared" si="1"/>
        <v>0</v>
      </c>
      <c r="G10" s="72">
        <f t="shared" si="2"/>
        <v>0</v>
      </c>
      <c r="H10" s="283"/>
    </row>
    <row r="11" spans="1:9">
      <c r="A11" s="21"/>
      <c r="B11" s="29"/>
      <c r="C11" s="29"/>
      <c r="D11" s="26"/>
      <c r="E11" s="7">
        <f t="shared" si="0"/>
        <v>0</v>
      </c>
      <c r="F11" s="7">
        <f t="shared" si="1"/>
        <v>0</v>
      </c>
      <c r="G11" s="72">
        <f t="shared" si="2"/>
        <v>0</v>
      </c>
      <c r="H11" s="283"/>
    </row>
    <row r="12" spans="1:9">
      <c r="A12" s="21"/>
      <c r="B12" s="29"/>
      <c r="C12" s="29"/>
      <c r="D12" s="26"/>
      <c r="E12" s="7">
        <f t="shared" si="0"/>
        <v>0</v>
      </c>
      <c r="F12" s="7">
        <f t="shared" si="1"/>
        <v>0</v>
      </c>
      <c r="G12" s="72">
        <f t="shared" si="2"/>
        <v>0</v>
      </c>
      <c r="H12" s="283"/>
    </row>
    <row r="13" spans="1:9">
      <c r="A13" s="21"/>
      <c r="B13" s="29"/>
      <c r="C13" s="29"/>
      <c r="D13" s="25"/>
      <c r="E13" s="7">
        <f t="shared" si="0"/>
        <v>0</v>
      </c>
      <c r="F13" s="7">
        <f t="shared" si="1"/>
        <v>0</v>
      </c>
      <c r="G13" s="72">
        <f t="shared" si="2"/>
        <v>0</v>
      </c>
      <c r="H13" s="283"/>
    </row>
    <row r="14" spans="1:9">
      <c r="A14" s="21"/>
      <c r="B14" s="29"/>
      <c r="C14" s="29"/>
      <c r="D14" s="25"/>
      <c r="E14" s="7">
        <f t="shared" si="0"/>
        <v>0</v>
      </c>
      <c r="F14" s="7">
        <f t="shared" si="1"/>
        <v>0</v>
      </c>
      <c r="G14" s="72">
        <f t="shared" si="2"/>
        <v>0</v>
      </c>
      <c r="H14" s="283"/>
    </row>
    <row r="15" spans="1:9">
      <c r="A15" s="21"/>
      <c r="B15" s="29"/>
      <c r="C15" s="29"/>
      <c r="D15" s="25"/>
      <c r="E15" s="7">
        <f t="shared" si="0"/>
        <v>0</v>
      </c>
      <c r="F15" s="7">
        <f t="shared" si="1"/>
        <v>0</v>
      </c>
      <c r="G15" s="72">
        <f t="shared" si="2"/>
        <v>0</v>
      </c>
      <c r="H15" s="283"/>
    </row>
    <row r="16" spans="1:9">
      <c r="A16" s="21"/>
      <c r="B16" s="29"/>
      <c r="C16" s="29"/>
      <c r="D16" s="25"/>
      <c r="E16" s="7">
        <f t="shared" si="0"/>
        <v>0</v>
      </c>
      <c r="F16" s="7">
        <f t="shared" si="1"/>
        <v>0</v>
      </c>
      <c r="G16" s="72">
        <f t="shared" si="2"/>
        <v>0</v>
      </c>
      <c r="H16" s="283"/>
    </row>
    <row r="17" spans="1:8">
      <c r="A17" s="21"/>
      <c r="B17" s="29"/>
      <c r="C17" s="29"/>
      <c r="D17" s="25"/>
      <c r="E17" s="7">
        <f t="shared" si="0"/>
        <v>0</v>
      </c>
      <c r="F17" s="7">
        <f t="shared" si="1"/>
        <v>0</v>
      </c>
      <c r="G17" s="72">
        <f t="shared" si="2"/>
        <v>0</v>
      </c>
      <c r="H17" s="283"/>
    </row>
    <row r="18" spans="1:8">
      <c r="A18" s="77"/>
      <c r="B18" s="29"/>
      <c r="C18" s="29"/>
      <c r="D18" s="78"/>
      <c r="E18" s="7">
        <f t="shared" ref="E18:E25" si="3">(B18*D18)</f>
        <v>0</v>
      </c>
      <c r="F18" s="7">
        <f t="shared" ref="F18:F25" si="4">(C18*D18)</f>
        <v>0</v>
      </c>
      <c r="G18" s="72">
        <f t="shared" ref="G18:G25" si="5">(E18+F18)</f>
        <v>0</v>
      </c>
      <c r="H18" s="283"/>
    </row>
    <row r="19" spans="1:8">
      <c r="A19" s="77"/>
      <c r="B19" s="29"/>
      <c r="C19" s="29"/>
      <c r="D19" s="78"/>
      <c r="E19" s="7">
        <f t="shared" si="3"/>
        <v>0</v>
      </c>
      <c r="F19" s="7">
        <f t="shared" si="4"/>
        <v>0</v>
      </c>
      <c r="G19" s="72">
        <f t="shared" si="5"/>
        <v>0</v>
      </c>
      <c r="H19" s="283"/>
    </row>
    <row r="20" spans="1:8">
      <c r="A20" s="77"/>
      <c r="B20" s="29"/>
      <c r="C20" s="29"/>
      <c r="D20" s="78"/>
      <c r="E20" s="7">
        <f t="shared" si="3"/>
        <v>0</v>
      </c>
      <c r="F20" s="7">
        <f t="shared" si="4"/>
        <v>0</v>
      </c>
      <c r="G20" s="72">
        <f t="shared" si="5"/>
        <v>0</v>
      </c>
      <c r="H20" s="283"/>
    </row>
    <row r="21" spans="1:8">
      <c r="A21" s="77"/>
      <c r="B21" s="29"/>
      <c r="C21" s="29"/>
      <c r="D21" s="78"/>
      <c r="E21" s="7">
        <f t="shared" si="3"/>
        <v>0</v>
      </c>
      <c r="F21" s="7">
        <f t="shared" si="4"/>
        <v>0</v>
      </c>
      <c r="G21" s="72">
        <f t="shared" si="5"/>
        <v>0</v>
      </c>
      <c r="H21" s="283"/>
    </row>
    <row r="22" spans="1:8">
      <c r="A22" s="77"/>
      <c r="B22" s="29"/>
      <c r="C22" s="29"/>
      <c r="D22" s="78"/>
      <c r="E22" s="7">
        <f t="shared" si="3"/>
        <v>0</v>
      </c>
      <c r="F22" s="7">
        <f t="shared" si="4"/>
        <v>0</v>
      </c>
      <c r="G22" s="72">
        <f t="shared" si="5"/>
        <v>0</v>
      </c>
      <c r="H22" s="283"/>
    </row>
    <row r="23" spans="1:8">
      <c r="A23" s="77"/>
      <c r="B23" s="29"/>
      <c r="C23" s="29"/>
      <c r="D23" s="78"/>
      <c r="E23" s="7">
        <f t="shared" si="3"/>
        <v>0</v>
      </c>
      <c r="F23" s="7">
        <f t="shared" si="4"/>
        <v>0</v>
      </c>
      <c r="G23" s="72">
        <f t="shared" si="5"/>
        <v>0</v>
      </c>
      <c r="H23" s="283"/>
    </row>
    <row r="24" spans="1:8">
      <c r="A24" s="77"/>
      <c r="B24" s="29"/>
      <c r="C24" s="29"/>
      <c r="D24" s="78"/>
      <c r="E24" s="7">
        <f t="shared" si="3"/>
        <v>0</v>
      </c>
      <c r="F24" s="7">
        <f t="shared" si="4"/>
        <v>0</v>
      </c>
      <c r="G24" s="72">
        <f t="shared" si="5"/>
        <v>0</v>
      </c>
      <c r="H24" s="283"/>
    </row>
    <row r="25" spans="1:8">
      <c r="A25" s="77"/>
      <c r="B25" s="29"/>
      <c r="C25" s="29"/>
      <c r="D25" s="78"/>
      <c r="E25" s="7">
        <f t="shared" si="3"/>
        <v>0</v>
      </c>
      <c r="F25" s="7">
        <f t="shared" si="4"/>
        <v>0</v>
      </c>
      <c r="G25" s="72">
        <f t="shared" si="5"/>
        <v>0</v>
      </c>
      <c r="H25" s="283"/>
    </row>
    <row r="26" spans="1:8" ht="9.75" customHeight="1">
      <c r="A26" s="242"/>
      <c r="B26" s="242"/>
      <c r="C26" s="242"/>
      <c r="D26" s="242"/>
      <c r="E26" s="242"/>
      <c r="F26" s="242"/>
      <c r="G26" s="242"/>
      <c r="H26" s="283"/>
    </row>
    <row r="27" spans="1:8" ht="15">
      <c r="A27" s="291" t="s">
        <v>121</v>
      </c>
      <c r="B27" s="292"/>
      <c r="C27" s="292"/>
      <c r="D27" s="293"/>
      <c r="E27" s="33">
        <f>SUM(E6:E25)</f>
        <v>0</v>
      </c>
      <c r="F27" s="33">
        <f>SUM(F6:F25)</f>
        <v>0</v>
      </c>
      <c r="G27" s="74">
        <f>(E27+F27)</f>
        <v>0</v>
      </c>
      <c r="H27" s="283"/>
    </row>
    <row r="28" spans="1:8" ht="15">
      <c r="A28" s="291" t="s">
        <v>122</v>
      </c>
      <c r="B28" s="292"/>
      <c r="C28" s="292"/>
      <c r="D28" s="293"/>
      <c r="E28" s="33">
        <f>E4</f>
        <v>0</v>
      </c>
      <c r="F28" s="33">
        <f>F4</f>
        <v>0</v>
      </c>
      <c r="G28" s="74">
        <f>E28+F28</f>
        <v>0</v>
      </c>
      <c r="H28" s="283"/>
    </row>
    <row r="29" spans="1:8" ht="15" customHeight="1">
      <c r="A29" s="294" t="s">
        <v>123</v>
      </c>
      <c r="B29" s="295"/>
      <c r="C29" s="295"/>
      <c r="D29" s="296"/>
      <c r="E29" s="46">
        <f>E27+E28</f>
        <v>0</v>
      </c>
      <c r="F29" s="46">
        <f>F27+F28</f>
        <v>0</v>
      </c>
      <c r="G29" s="73">
        <f>G27+G28</f>
        <v>0</v>
      </c>
      <c r="H29" s="283"/>
    </row>
    <row r="30" spans="1:8" ht="35.25" customHeight="1">
      <c r="A30" s="287" t="s">
        <v>124</v>
      </c>
      <c r="B30" s="288"/>
      <c r="C30" s="289"/>
      <c r="D30" s="119"/>
      <c r="E30" s="300"/>
      <c r="F30" s="301"/>
      <c r="G30" s="73">
        <f>(D30*D4)</f>
        <v>0</v>
      </c>
      <c r="H30" s="283"/>
    </row>
    <row r="31" spans="1:8" ht="9" customHeight="1">
      <c r="A31" s="248"/>
      <c r="B31" s="248"/>
      <c r="C31" s="248"/>
      <c r="D31" s="248"/>
      <c r="E31" s="248"/>
      <c r="F31" s="248"/>
      <c r="G31" s="248"/>
      <c r="H31" s="284"/>
    </row>
  </sheetData>
  <mergeCells count="18">
    <mergeCell ref="I2:I3"/>
    <mergeCell ref="E30:F30"/>
    <mergeCell ref="A27:D27"/>
    <mergeCell ref="A28:D28"/>
    <mergeCell ref="A29:D29"/>
    <mergeCell ref="A30:C30"/>
    <mergeCell ref="A26:G26"/>
    <mergeCell ref="H1:H31"/>
    <mergeCell ref="A31:G31"/>
    <mergeCell ref="A5:G5"/>
    <mergeCell ref="B2:B3"/>
    <mergeCell ref="C2:C3"/>
    <mergeCell ref="A1:G1"/>
    <mergeCell ref="D2:D3"/>
    <mergeCell ref="E2:E3"/>
    <mergeCell ref="F2:F3"/>
    <mergeCell ref="A2:A3"/>
    <mergeCell ref="G2:G3"/>
  </mergeCells>
  <phoneticPr fontId="7" type="noConversion"/>
  <printOptions verticalCentered="1" gridLines="1"/>
  <pageMargins left="0" right="0" top="0" bottom="0" header="0" footer="0"/>
  <pageSetup orientation="landscape" blackAndWhite="1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2060"/>
  </sheetPr>
  <dimension ref="A1:I31"/>
  <sheetViews>
    <sheetView workbookViewId="0">
      <pane ySplit="5" topLeftCell="A6" activePane="bottomLeft" state="frozen"/>
      <selection pane="bottomLeft" activeCell="B6" sqref="B6"/>
    </sheetView>
  </sheetViews>
  <sheetFormatPr defaultRowHeight="12.75"/>
  <cols>
    <col min="1" max="1" width="34.42578125" customWidth="1"/>
    <col min="4" max="4" width="9.85546875" customWidth="1"/>
    <col min="5" max="5" width="15.140625" customWidth="1"/>
    <col min="6" max="6" width="13.28515625" customWidth="1"/>
    <col min="7" max="7" width="13.85546875" customWidth="1"/>
    <col min="8" max="8" width="2.7109375" customWidth="1"/>
    <col min="9" max="9" width="23" customWidth="1"/>
  </cols>
  <sheetData>
    <row r="1" spans="1:9" ht="32.25" customHeight="1">
      <c r="A1" s="334" t="s">
        <v>161</v>
      </c>
      <c r="B1" s="335"/>
      <c r="C1" s="335"/>
      <c r="D1" s="335"/>
      <c r="E1" s="335"/>
      <c r="F1" s="335"/>
      <c r="G1" s="336"/>
      <c r="H1" s="282"/>
      <c r="I1" s="90" t="s">
        <v>3</v>
      </c>
    </row>
    <row r="2" spans="1:9" ht="24" customHeight="1">
      <c r="A2" s="298" t="s">
        <v>114</v>
      </c>
      <c r="B2" s="276" t="s">
        <v>115</v>
      </c>
      <c r="C2" s="276" t="s">
        <v>116</v>
      </c>
      <c r="D2" s="276" t="s">
        <v>86</v>
      </c>
      <c r="E2" s="276" t="s">
        <v>117</v>
      </c>
      <c r="F2" s="276" t="s">
        <v>118</v>
      </c>
      <c r="G2" s="276" t="s">
        <v>119</v>
      </c>
      <c r="H2" s="283"/>
      <c r="I2" s="290" t="s">
        <v>57</v>
      </c>
    </row>
    <row r="3" spans="1:9" ht="17.25" customHeight="1">
      <c r="A3" s="299"/>
      <c r="B3" s="277"/>
      <c r="C3" s="277"/>
      <c r="D3" s="277"/>
      <c r="E3" s="277"/>
      <c r="F3" s="277"/>
      <c r="G3" s="277"/>
      <c r="H3" s="283"/>
      <c r="I3" s="290"/>
    </row>
    <row r="4" spans="1:9" ht="15">
      <c r="A4" s="105" t="s">
        <v>162</v>
      </c>
      <c r="B4" s="46">
        <f>MACH1718!C153</f>
        <v>56.912999999999997</v>
      </c>
      <c r="C4" s="46">
        <f>MACH1718!D153</f>
        <v>11.5542</v>
      </c>
      <c r="D4" s="79">
        <f>SUM(D6:D25)</f>
        <v>2.1800000000000002</v>
      </c>
      <c r="E4" s="46">
        <f>(B4*D4)</f>
        <v>124.07034</v>
      </c>
      <c r="F4" s="46">
        <f>(C4*D4)</f>
        <v>25.188156000000003</v>
      </c>
      <c r="G4" s="46">
        <f>E4+F4</f>
        <v>149.25849600000001</v>
      </c>
      <c r="H4" s="283"/>
    </row>
    <row r="5" spans="1:9" ht="12.75" customHeight="1">
      <c r="A5" s="275"/>
      <c r="B5" s="275"/>
      <c r="C5" s="275"/>
      <c r="D5" s="275"/>
      <c r="E5" s="275"/>
      <c r="F5" s="275"/>
      <c r="G5" s="275"/>
      <c r="H5" s="283"/>
    </row>
    <row r="6" spans="1:9">
      <c r="A6" s="21" t="s">
        <v>163</v>
      </c>
      <c r="B6" s="29">
        <f>MACH1718!C24</f>
        <v>1.1712</v>
      </c>
      <c r="C6" s="29">
        <f>MACH1718!D24</f>
        <v>4.032</v>
      </c>
      <c r="D6" s="107">
        <v>1.82</v>
      </c>
      <c r="E6" s="7">
        <f t="shared" ref="E6:E21" si="0">(B6*D6)</f>
        <v>2.1315840000000001</v>
      </c>
      <c r="F6" s="7">
        <f t="shared" ref="F6:F21" si="1">(C6*D6)</f>
        <v>7.3382399999999999</v>
      </c>
      <c r="G6" s="7">
        <f t="shared" ref="G6:G21" si="2">(E6+F6)</f>
        <v>9.4698239999999991</v>
      </c>
      <c r="H6" s="283"/>
    </row>
    <row r="7" spans="1:9">
      <c r="A7" s="77" t="s">
        <v>102</v>
      </c>
      <c r="B7" s="29">
        <f>MACH1718!C51</f>
        <v>0.86619999999999997</v>
      </c>
      <c r="C7" s="29">
        <f>MACH1718!D51</f>
        <v>1.1843999999999999</v>
      </c>
      <c r="D7" s="78">
        <v>0.36</v>
      </c>
      <c r="E7" s="7">
        <f t="shared" si="0"/>
        <v>0.311832</v>
      </c>
      <c r="F7" s="7">
        <f t="shared" si="1"/>
        <v>0.42638399999999993</v>
      </c>
      <c r="G7" s="7">
        <f t="shared" si="2"/>
        <v>0.73821599999999998</v>
      </c>
      <c r="H7" s="283"/>
    </row>
    <row r="8" spans="1:9">
      <c r="A8" s="77"/>
      <c r="B8" s="29"/>
      <c r="C8" s="29"/>
      <c r="D8" s="78"/>
      <c r="E8" s="7">
        <f t="shared" si="0"/>
        <v>0</v>
      </c>
      <c r="F8" s="7">
        <f t="shared" si="1"/>
        <v>0</v>
      </c>
      <c r="G8" s="7">
        <f t="shared" si="2"/>
        <v>0</v>
      </c>
      <c r="H8" s="283"/>
    </row>
    <row r="9" spans="1:9">
      <c r="A9" s="21"/>
      <c r="B9" s="29"/>
      <c r="C9" s="29"/>
      <c r="D9" s="26"/>
      <c r="E9" s="7">
        <f t="shared" si="0"/>
        <v>0</v>
      </c>
      <c r="F9" s="7">
        <f t="shared" si="1"/>
        <v>0</v>
      </c>
      <c r="G9" s="7">
        <f t="shared" si="2"/>
        <v>0</v>
      </c>
      <c r="H9" s="283"/>
    </row>
    <row r="10" spans="1:9">
      <c r="A10" s="21"/>
      <c r="B10" s="29"/>
      <c r="C10" s="29"/>
      <c r="D10" s="26"/>
      <c r="E10" s="7">
        <f t="shared" si="0"/>
        <v>0</v>
      </c>
      <c r="F10" s="7">
        <f t="shared" si="1"/>
        <v>0</v>
      </c>
      <c r="G10" s="7">
        <f t="shared" si="2"/>
        <v>0</v>
      </c>
      <c r="H10" s="283"/>
    </row>
    <row r="11" spans="1:9">
      <c r="A11" s="21"/>
      <c r="B11" s="29"/>
      <c r="C11" s="29"/>
      <c r="D11" s="26"/>
      <c r="E11" s="7">
        <f t="shared" si="0"/>
        <v>0</v>
      </c>
      <c r="F11" s="7">
        <f t="shared" si="1"/>
        <v>0</v>
      </c>
      <c r="G11" s="7">
        <f t="shared" si="2"/>
        <v>0</v>
      </c>
      <c r="H11" s="283"/>
    </row>
    <row r="12" spans="1:9">
      <c r="A12" s="21"/>
      <c r="B12" s="29"/>
      <c r="C12" s="29"/>
      <c r="D12" s="26"/>
      <c r="E12" s="7">
        <f t="shared" si="0"/>
        <v>0</v>
      </c>
      <c r="F12" s="7">
        <f t="shared" si="1"/>
        <v>0</v>
      </c>
      <c r="G12" s="7">
        <f t="shared" si="2"/>
        <v>0</v>
      </c>
      <c r="H12" s="283"/>
    </row>
    <row r="13" spans="1:9">
      <c r="A13" s="21"/>
      <c r="B13" s="29"/>
      <c r="C13" s="29"/>
      <c r="D13" s="26"/>
      <c r="E13" s="7">
        <f t="shared" si="0"/>
        <v>0</v>
      </c>
      <c r="F13" s="7">
        <f t="shared" si="1"/>
        <v>0</v>
      </c>
      <c r="G13" s="7">
        <f t="shared" si="2"/>
        <v>0</v>
      </c>
      <c r="H13" s="283"/>
    </row>
    <row r="14" spans="1:9">
      <c r="A14" s="21"/>
      <c r="B14" s="29"/>
      <c r="C14" s="29"/>
      <c r="D14" s="25"/>
      <c r="E14" s="7">
        <f t="shared" si="0"/>
        <v>0</v>
      </c>
      <c r="F14" s="7">
        <f t="shared" si="1"/>
        <v>0</v>
      </c>
      <c r="G14" s="7">
        <f t="shared" si="2"/>
        <v>0</v>
      </c>
      <c r="H14" s="283"/>
    </row>
    <row r="15" spans="1:9">
      <c r="A15" s="21"/>
      <c r="B15" s="29"/>
      <c r="C15" s="29"/>
      <c r="D15" s="25"/>
      <c r="E15" s="7">
        <f t="shared" si="0"/>
        <v>0</v>
      </c>
      <c r="F15" s="7">
        <f t="shared" si="1"/>
        <v>0</v>
      </c>
      <c r="G15" s="7">
        <f t="shared" si="2"/>
        <v>0</v>
      </c>
      <c r="H15" s="283"/>
    </row>
    <row r="16" spans="1:9">
      <c r="A16" s="21"/>
      <c r="B16" s="29"/>
      <c r="C16" s="29"/>
      <c r="D16" s="25"/>
      <c r="E16" s="7">
        <f t="shared" si="0"/>
        <v>0</v>
      </c>
      <c r="F16" s="7">
        <f t="shared" si="1"/>
        <v>0</v>
      </c>
      <c r="G16" s="7">
        <f t="shared" si="2"/>
        <v>0</v>
      </c>
      <c r="H16" s="283"/>
    </row>
    <row r="17" spans="1:8">
      <c r="A17" s="21"/>
      <c r="B17" s="29"/>
      <c r="C17" s="29"/>
      <c r="D17" s="25"/>
      <c r="E17" s="7">
        <f t="shared" si="0"/>
        <v>0</v>
      </c>
      <c r="F17" s="7">
        <f t="shared" si="1"/>
        <v>0</v>
      </c>
      <c r="G17" s="7">
        <f t="shared" si="2"/>
        <v>0</v>
      </c>
      <c r="H17" s="283"/>
    </row>
    <row r="18" spans="1:8">
      <c r="A18" s="21"/>
      <c r="B18" s="29"/>
      <c r="C18" s="29"/>
      <c r="D18" s="25"/>
      <c r="E18" s="7">
        <f t="shared" si="0"/>
        <v>0</v>
      </c>
      <c r="F18" s="7">
        <f t="shared" si="1"/>
        <v>0</v>
      </c>
      <c r="G18" s="7">
        <f t="shared" si="2"/>
        <v>0</v>
      </c>
      <c r="H18" s="283"/>
    </row>
    <row r="19" spans="1:8">
      <c r="A19" s="21"/>
      <c r="B19" s="29"/>
      <c r="C19" s="29"/>
      <c r="D19" s="25"/>
      <c r="E19" s="7">
        <f t="shared" si="0"/>
        <v>0</v>
      </c>
      <c r="F19" s="7">
        <f t="shared" si="1"/>
        <v>0</v>
      </c>
      <c r="G19" s="7">
        <f t="shared" si="2"/>
        <v>0</v>
      </c>
      <c r="H19" s="283"/>
    </row>
    <row r="20" spans="1:8">
      <c r="A20" s="21"/>
      <c r="B20" s="29"/>
      <c r="C20" s="29"/>
      <c r="D20" s="25"/>
      <c r="E20" s="7">
        <f t="shared" si="0"/>
        <v>0</v>
      </c>
      <c r="F20" s="7">
        <f t="shared" si="1"/>
        <v>0</v>
      </c>
      <c r="G20" s="7">
        <f t="shared" si="2"/>
        <v>0</v>
      </c>
      <c r="H20" s="283"/>
    </row>
    <row r="21" spans="1:8">
      <c r="A21" s="21"/>
      <c r="B21" s="29"/>
      <c r="C21" s="29"/>
      <c r="D21" s="25"/>
      <c r="E21" s="7">
        <f t="shared" si="0"/>
        <v>0</v>
      </c>
      <c r="F21" s="7">
        <f t="shared" si="1"/>
        <v>0</v>
      </c>
      <c r="G21" s="7">
        <f t="shared" si="2"/>
        <v>0</v>
      </c>
      <c r="H21" s="283"/>
    </row>
    <row r="22" spans="1:8">
      <c r="A22" s="77"/>
      <c r="B22" s="29"/>
      <c r="C22" s="29"/>
      <c r="D22" s="78"/>
      <c r="E22" s="7">
        <f>(B22*D22)</f>
        <v>0</v>
      </c>
      <c r="F22" s="7">
        <f>(C22*D22)</f>
        <v>0</v>
      </c>
      <c r="G22" s="7">
        <f>(E22+F22)</f>
        <v>0</v>
      </c>
      <c r="H22" s="283"/>
    </row>
    <row r="23" spans="1:8">
      <c r="A23" s="77"/>
      <c r="B23" s="29"/>
      <c r="C23" s="29"/>
      <c r="D23" s="78"/>
      <c r="E23" s="7">
        <f>(B23*D23)</f>
        <v>0</v>
      </c>
      <c r="F23" s="7">
        <f>(C23*D23)</f>
        <v>0</v>
      </c>
      <c r="G23" s="7">
        <f>(E23+F23)</f>
        <v>0</v>
      </c>
      <c r="H23" s="283"/>
    </row>
    <row r="24" spans="1:8">
      <c r="A24" s="77"/>
      <c r="B24" s="29"/>
      <c r="C24" s="29"/>
      <c r="D24" s="78"/>
      <c r="E24" s="7">
        <f>(B24*D24)</f>
        <v>0</v>
      </c>
      <c r="F24" s="7">
        <f>(C24*D24)</f>
        <v>0</v>
      </c>
      <c r="G24" s="7">
        <f>(E24+F24)</f>
        <v>0</v>
      </c>
      <c r="H24" s="283"/>
    </row>
    <row r="25" spans="1:8">
      <c r="A25" s="77"/>
      <c r="B25" s="29"/>
      <c r="C25" s="29"/>
      <c r="D25" s="78"/>
      <c r="E25" s="7">
        <f>(B25*D25)</f>
        <v>0</v>
      </c>
      <c r="F25" s="7">
        <f>(C25*D25)</f>
        <v>0</v>
      </c>
      <c r="G25" s="7">
        <f>(E25+F25)</f>
        <v>0</v>
      </c>
      <c r="H25" s="283"/>
    </row>
    <row r="26" spans="1:8">
      <c r="A26" s="242"/>
      <c r="B26" s="242"/>
      <c r="C26" s="242"/>
      <c r="D26" s="242"/>
      <c r="E26" s="242"/>
      <c r="F26" s="242"/>
      <c r="G26" s="242"/>
      <c r="H26" s="283"/>
    </row>
    <row r="27" spans="1:8" ht="15">
      <c r="A27" s="291" t="s">
        <v>121</v>
      </c>
      <c r="B27" s="292"/>
      <c r="C27" s="292"/>
      <c r="D27" s="293"/>
      <c r="E27" s="33">
        <f>SUM(E6:E25)</f>
        <v>2.443416</v>
      </c>
      <c r="F27" s="33">
        <f>SUM(F6:F25)</f>
        <v>7.7646239999999995</v>
      </c>
      <c r="G27" s="33">
        <f>(E27+F27)</f>
        <v>10.20804</v>
      </c>
      <c r="H27" s="283"/>
    </row>
    <row r="28" spans="1:8" ht="15">
      <c r="A28" s="291" t="s">
        <v>122</v>
      </c>
      <c r="B28" s="292"/>
      <c r="C28" s="292"/>
      <c r="D28" s="293"/>
      <c r="E28" s="33">
        <f>E4</f>
        <v>124.07034</v>
      </c>
      <c r="F28" s="33">
        <f>F4</f>
        <v>25.188156000000003</v>
      </c>
      <c r="G28" s="33">
        <f>E28+F28</f>
        <v>149.25849600000001</v>
      </c>
      <c r="H28" s="283"/>
    </row>
    <row r="29" spans="1:8" ht="15" customHeight="1">
      <c r="A29" s="294" t="s">
        <v>123</v>
      </c>
      <c r="B29" s="295"/>
      <c r="C29" s="295"/>
      <c r="D29" s="296"/>
      <c r="E29" s="46">
        <f>E27+E28</f>
        <v>126.513756</v>
      </c>
      <c r="F29" s="46">
        <f>F27+F28</f>
        <v>32.952780000000004</v>
      </c>
      <c r="G29" s="46">
        <f>G27+G28</f>
        <v>159.46653600000002</v>
      </c>
      <c r="H29" s="283"/>
    </row>
    <row r="30" spans="1:8" ht="34.5" customHeight="1">
      <c r="A30" s="287" t="s">
        <v>124</v>
      </c>
      <c r="B30" s="288"/>
      <c r="C30" s="289"/>
      <c r="D30" s="119">
        <v>20</v>
      </c>
      <c r="E30" s="300"/>
      <c r="F30" s="301"/>
      <c r="G30" s="46">
        <f>(D30*D4)</f>
        <v>43.6</v>
      </c>
      <c r="H30" s="283"/>
    </row>
    <row r="31" spans="1:8">
      <c r="A31" s="248"/>
      <c r="B31" s="248"/>
      <c r="C31" s="248"/>
      <c r="D31" s="248"/>
      <c r="E31" s="248"/>
      <c r="F31" s="248"/>
      <c r="G31" s="248"/>
      <c r="H31" s="284"/>
    </row>
  </sheetData>
  <mergeCells count="18">
    <mergeCell ref="A26:G26"/>
    <mergeCell ref="A5:G5"/>
    <mergeCell ref="H1:H31"/>
    <mergeCell ref="A31:G31"/>
    <mergeCell ref="I2:I3"/>
    <mergeCell ref="A30:C30"/>
    <mergeCell ref="A1:G1"/>
    <mergeCell ref="A2:A3"/>
    <mergeCell ref="B2:B3"/>
    <mergeCell ref="C2:C3"/>
    <mergeCell ref="D2:D3"/>
    <mergeCell ref="E2:E3"/>
    <mergeCell ref="A27:D27"/>
    <mergeCell ref="A28:D28"/>
    <mergeCell ref="A29:D29"/>
    <mergeCell ref="E30:F30"/>
    <mergeCell ref="F2:F3"/>
    <mergeCell ref="G2:G3"/>
  </mergeCells>
  <phoneticPr fontId="7" type="noConversion"/>
  <printOptions verticalCentered="1" gridLines="1"/>
  <pageMargins left="0" right="0" top="0" bottom="0" header="0" footer="0"/>
  <pageSetup orientation="landscape" blackAndWhite="1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2060"/>
    <pageSetUpPr fitToPage="1"/>
  </sheetPr>
  <dimension ref="A1:I31"/>
  <sheetViews>
    <sheetView workbookViewId="0">
      <pane ySplit="5" topLeftCell="A6" activePane="bottomLeft" state="frozen"/>
      <selection pane="bottomLeft" activeCell="B4" sqref="B4"/>
    </sheetView>
  </sheetViews>
  <sheetFormatPr defaultRowHeight="12.75"/>
  <cols>
    <col min="1" max="1" width="27.28515625" customWidth="1"/>
    <col min="2" max="2" width="11.7109375" customWidth="1"/>
    <col min="3" max="3" width="10.5703125" customWidth="1"/>
    <col min="4" max="4" width="10.140625" customWidth="1"/>
    <col min="5" max="5" width="15.28515625" customWidth="1"/>
    <col min="6" max="6" width="12.7109375" customWidth="1"/>
    <col min="7" max="7" width="11.85546875" customWidth="1"/>
    <col min="8" max="8" width="2.28515625" customWidth="1"/>
    <col min="9" max="9" width="21.42578125" customWidth="1"/>
  </cols>
  <sheetData>
    <row r="1" spans="1:9" ht="15.75">
      <c r="A1" s="412" t="s">
        <v>164</v>
      </c>
      <c r="B1" s="416"/>
      <c r="C1" s="416"/>
      <c r="D1" s="416"/>
      <c r="E1" s="416"/>
      <c r="F1" s="416"/>
      <c r="G1" s="416"/>
      <c r="H1" s="283"/>
      <c r="I1" s="306" t="s">
        <v>3</v>
      </c>
    </row>
    <row r="2" spans="1:9" ht="12.75" customHeight="1">
      <c r="A2" s="298" t="s">
        <v>114</v>
      </c>
      <c r="B2" s="276" t="s">
        <v>115</v>
      </c>
      <c r="C2" s="276" t="s">
        <v>116</v>
      </c>
      <c r="D2" s="276" t="s">
        <v>86</v>
      </c>
      <c r="E2" s="276" t="s">
        <v>117</v>
      </c>
      <c r="F2" s="276" t="s">
        <v>118</v>
      </c>
      <c r="G2" s="276" t="s">
        <v>119</v>
      </c>
      <c r="H2" s="283"/>
      <c r="I2" s="306"/>
    </row>
    <row r="3" spans="1:9" ht="30.75" customHeight="1">
      <c r="A3" s="299"/>
      <c r="B3" s="277"/>
      <c r="C3" s="277"/>
      <c r="D3" s="277"/>
      <c r="E3" s="277"/>
      <c r="F3" s="277"/>
      <c r="G3" s="277"/>
      <c r="H3" s="283"/>
      <c r="I3" s="91" t="s">
        <v>57</v>
      </c>
    </row>
    <row r="4" spans="1:9" ht="15">
      <c r="A4" s="105" t="s">
        <v>165</v>
      </c>
      <c r="B4" s="46">
        <f>MACH1718!C154</f>
        <v>66.758399999999995</v>
      </c>
      <c r="C4" s="46">
        <f>MACH1718!D154</f>
        <v>14.0868</v>
      </c>
      <c r="D4" s="115">
        <f>SUM(D6:D25)</f>
        <v>0</v>
      </c>
      <c r="E4" s="46">
        <f>(B4*D4)</f>
        <v>0</v>
      </c>
      <c r="F4" s="46">
        <f>(C4*D4)</f>
        <v>0</v>
      </c>
      <c r="G4" s="46">
        <f>E4+F4</f>
        <v>0</v>
      </c>
      <c r="H4" s="283"/>
      <c r="I4" s="91"/>
    </row>
    <row r="5" spans="1:9" ht="12" customHeight="1">
      <c r="A5" s="275"/>
      <c r="B5" s="275"/>
      <c r="C5" s="275"/>
      <c r="D5" s="275"/>
      <c r="E5" s="275"/>
      <c r="F5" s="275"/>
      <c r="G5" s="275"/>
      <c r="H5" s="283"/>
    </row>
    <row r="6" spans="1:9">
      <c r="A6" s="21"/>
      <c r="B6" s="29"/>
      <c r="C6" s="29"/>
      <c r="D6" s="107"/>
      <c r="E6" s="7">
        <f t="shared" ref="E6:E13" si="0">(B6*D6)</f>
        <v>0</v>
      </c>
      <c r="F6" s="7">
        <f t="shared" ref="F6:F13" si="1">(C6*D6)</f>
        <v>0</v>
      </c>
      <c r="G6" s="7">
        <f t="shared" ref="G6:G13" si="2">(E6+F6)</f>
        <v>0</v>
      </c>
      <c r="H6" s="283"/>
    </row>
    <row r="7" spans="1:9">
      <c r="A7" s="21"/>
      <c r="B7" s="29"/>
      <c r="C7" s="29"/>
      <c r="D7" s="78"/>
      <c r="E7" s="7">
        <f t="shared" si="0"/>
        <v>0</v>
      </c>
      <c r="F7" s="7">
        <f t="shared" si="1"/>
        <v>0</v>
      </c>
      <c r="G7" s="7">
        <f t="shared" si="2"/>
        <v>0</v>
      </c>
      <c r="H7" s="283"/>
    </row>
    <row r="8" spans="1:9">
      <c r="A8" s="21"/>
      <c r="B8" s="29"/>
      <c r="C8" s="29"/>
      <c r="D8" s="78"/>
      <c r="E8" s="7">
        <f t="shared" si="0"/>
        <v>0</v>
      </c>
      <c r="F8" s="7">
        <f t="shared" si="1"/>
        <v>0</v>
      </c>
      <c r="G8" s="7">
        <f t="shared" si="2"/>
        <v>0</v>
      </c>
      <c r="H8" s="283"/>
    </row>
    <row r="9" spans="1:9">
      <c r="A9" s="21"/>
      <c r="B9" s="29"/>
      <c r="C9" s="29"/>
      <c r="D9" s="26"/>
      <c r="E9" s="7">
        <f t="shared" si="0"/>
        <v>0</v>
      </c>
      <c r="F9" s="7">
        <f t="shared" si="1"/>
        <v>0</v>
      </c>
      <c r="G9" s="7">
        <f t="shared" si="2"/>
        <v>0</v>
      </c>
      <c r="H9" s="283"/>
    </row>
    <row r="10" spans="1:9">
      <c r="A10" s="21"/>
      <c r="B10" s="29"/>
      <c r="C10" s="29"/>
      <c r="D10" s="26"/>
      <c r="E10" s="7">
        <f t="shared" si="0"/>
        <v>0</v>
      </c>
      <c r="F10" s="7">
        <f t="shared" si="1"/>
        <v>0</v>
      </c>
      <c r="G10" s="7">
        <f t="shared" si="2"/>
        <v>0</v>
      </c>
      <c r="H10" s="283"/>
    </row>
    <row r="11" spans="1:9">
      <c r="A11" s="21"/>
      <c r="B11" s="29"/>
      <c r="C11" s="29"/>
      <c r="D11" s="26"/>
      <c r="E11" s="7">
        <f t="shared" si="0"/>
        <v>0</v>
      </c>
      <c r="F11" s="7">
        <f t="shared" si="1"/>
        <v>0</v>
      </c>
      <c r="G11" s="7">
        <f t="shared" si="2"/>
        <v>0</v>
      </c>
      <c r="H11" s="283"/>
    </row>
    <row r="12" spans="1:9">
      <c r="A12" s="21"/>
      <c r="B12" s="29"/>
      <c r="C12" s="29"/>
      <c r="D12" s="25"/>
      <c r="E12" s="7">
        <f t="shared" si="0"/>
        <v>0</v>
      </c>
      <c r="F12" s="7">
        <f t="shared" si="1"/>
        <v>0</v>
      </c>
      <c r="G12" s="7">
        <f t="shared" si="2"/>
        <v>0</v>
      </c>
      <c r="H12" s="283"/>
    </row>
    <row r="13" spans="1:9">
      <c r="A13" s="21"/>
      <c r="B13" s="29"/>
      <c r="C13" s="29"/>
      <c r="D13" s="25"/>
      <c r="E13" s="7">
        <f t="shared" si="0"/>
        <v>0</v>
      </c>
      <c r="F13" s="7">
        <f t="shared" si="1"/>
        <v>0</v>
      </c>
      <c r="G13" s="7">
        <f t="shared" si="2"/>
        <v>0</v>
      </c>
      <c r="H13" s="283"/>
    </row>
    <row r="14" spans="1:9">
      <c r="A14" s="77"/>
      <c r="B14" s="29"/>
      <c r="C14" s="29"/>
      <c r="D14" s="78"/>
      <c r="E14" s="7">
        <f t="shared" ref="E14:E21" si="3">(B14*D14)</f>
        <v>0</v>
      </c>
      <c r="F14" s="7">
        <f t="shared" ref="F14:F21" si="4">(C14*D14)</f>
        <v>0</v>
      </c>
      <c r="G14" s="7">
        <f t="shared" ref="G14:G21" si="5">(E14+F14)</f>
        <v>0</v>
      </c>
      <c r="H14" s="283"/>
    </row>
    <row r="15" spans="1:9">
      <c r="A15" s="77"/>
      <c r="B15" s="29"/>
      <c r="C15" s="29"/>
      <c r="D15" s="78"/>
      <c r="E15" s="7">
        <f t="shared" si="3"/>
        <v>0</v>
      </c>
      <c r="F15" s="7">
        <f t="shared" si="4"/>
        <v>0</v>
      </c>
      <c r="G15" s="7">
        <f t="shared" si="5"/>
        <v>0</v>
      </c>
      <c r="H15" s="283"/>
    </row>
    <row r="16" spans="1:9">
      <c r="A16" s="77"/>
      <c r="B16" s="29"/>
      <c r="C16" s="29"/>
      <c r="D16" s="78"/>
      <c r="E16" s="7">
        <f t="shared" si="3"/>
        <v>0</v>
      </c>
      <c r="F16" s="7">
        <f t="shared" si="4"/>
        <v>0</v>
      </c>
      <c r="G16" s="7">
        <f t="shared" si="5"/>
        <v>0</v>
      </c>
      <c r="H16" s="283"/>
    </row>
    <row r="17" spans="1:8">
      <c r="A17" s="77"/>
      <c r="B17" s="29"/>
      <c r="C17" s="29"/>
      <c r="D17" s="78"/>
      <c r="E17" s="7">
        <f t="shared" si="3"/>
        <v>0</v>
      </c>
      <c r="F17" s="7">
        <f t="shared" si="4"/>
        <v>0</v>
      </c>
      <c r="G17" s="7">
        <f t="shared" si="5"/>
        <v>0</v>
      </c>
      <c r="H17" s="283"/>
    </row>
    <row r="18" spans="1:8">
      <c r="A18" s="77"/>
      <c r="B18" s="29"/>
      <c r="C18" s="29"/>
      <c r="D18" s="78"/>
      <c r="E18" s="7">
        <f t="shared" si="3"/>
        <v>0</v>
      </c>
      <c r="F18" s="7">
        <f t="shared" si="4"/>
        <v>0</v>
      </c>
      <c r="G18" s="7">
        <f t="shared" si="5"/>
        <v>0</v>
      </c>
      <c r="H18" s="283"/>
    </row>
    <row r="19" spans="1:8">
      <c r="A19" s="77"/>
      <c r="B19" s="29"/>
      <c r="C19" s="29"/>
      <c r="D19" s="78"/>
      <c r="E19" s="7">
        <f t="shared" si="3"/>
        <v>0</v>
      </c>
      <c r="F19" s="7">
        <f t="shared" si="4"/>
        <v>0</v>
      </c>
      <c r="G19" s="7">
        <f t="shared" si="5"/>
        <v>0</v>
      </c>
      <c r="H19" s="283"/>
    </row>
    <row r="20" spans="1:8">
      <c r="A20" s="77"/>
      <c r="B20" s="29"/>
      <c r="C20" s="29"/>
      <c r="D20" s="78"/>
      <c r="E20" s="7">
        <f t="shared" si="3"/>
        <v>0</v>
      </c>
      <c r="F20" s="7">
        <f t="shared" si="4"/>
        <v>0</v>
      </c>
      <c r="G20" s="7">
        <f t="shared" si="5"/>
        <v>0</v>
      </c>
      <c r="H20" s="283"/>
    </row>
    <row r="21" spans="1:8">
      <c r="A21" s="77"/>
      <c r="B21" s="29"/>
      <c r="C21" s="29"/>
      <c r="D21" s="78"/>
      <c r="E21" s="7">
        <f t="shared" si="3"/>
        <v>0</v>
      </c>
      <c r="F21" s="7">
        <f t="shared" si="4"/>
        <v>0</v>
      </c>
      <c r="G21" s="7">
        <f t="shared" si="5"/>
        <v>0</v>
      </c>
      <c r="H21" s="283"/>
    </row>
    <row r="22" spans="1:8">
      <c r="A22" s="77"/>
      <c r="B22" s="29"/>
      <c r="C22" s="29"/>
      <c r="D22" s="32"/>
      <c r="E22" s="7">
        <f>(B22*D22)</f>
        <v>0</v>
      </c>
      <c r="F22" s="7">
        <f>(C22*D22)</f>
        <v>0</v>
      </c>
      <c r="G22" s="7">
        <f>(E22+F22)</f>
        <v>0</v>
      </c>
      <c r="H22" s="283"/>
    </row>
    <row r="23" spans="1:8">
      <c r="A23" s="77"/>
      <c r="B23" s="29"/>
      <c r="C23" s="29"/>
      <c r="D23" s="32"/>
      <c r="E23" s="7">
        <f>(B23*D23)</f>
        <v>0</v>
      </c>
      <c r="F23" s="7">
        <f>(C23*D23)</f>
        <v>0</v>
      </c>
      <c r="G23" s="7">
        <f>(E23+F23)</f>
        <v>0</v>
      </c>
      <c r="H23" s="283"/>
    </row>
    <row r="24" spans="1:8">
      <c r="A24" s="77"/>
      <c r="B24" s="29"/>
      <c r="C24" s="29"/>
      <c r="D24" s="32"/>
      <c r="E24" s="7">
        <f>(B24*D24)</f>
        <v>0</v>
      </c>
      <c r="F24" s="7">
        <f>(C24*D24)</f>
        <v>0</v>
      </c>
      <c r="G24" s="7">
        <f>(E24+F24)</f>
        <v>0</v>
      </c>
      <c r="H24" s="283"/>
    </row>
    <row r="25" spans="1:8">
      <c r="A25" s="77"/>
      <c r="B25" s="29"/>
      <c r="C25" s="29"/>
      <c r="D25" s="32"/>
      <c r="E25" s="7">
        <f>(B25*D25)</f>
        <v>0</v>
      </c>
      <c r="F25" s="7">
        <f>(C25*D25)</f>
        <v>0</v>
      </c>
      <c r="G25" s="7">
        <f>(E25+F25)</f>
        <v>0</v>
      </c>
      <c r="H25" s="283"/>
    </row>
    <row r="26" spans="1:8">
      <c r="A26" s="242"/>
      <c r="B26" s="242"/>
      <c r="C26" s="242"/>
      <c r="D26" s="242"/>
      <c r="E26" s="242"/>
      <c r="F26" s="242"/>
      <c r="G26" s="242"/>
      <c r="H26" s="283"/>
    </row>
    <row r="27" spans="1:8" ht="15">
      <c r="A27" s="291" t="s">
        <v>121</v>
      </c>
      <c r="B27" s="292"/>
      <c r="C27" s="292"/>
      <c r="D27" s="293"/>
      <c r="E27" s="33">
        <f>SUM(E6:E25)</f>
        <v>0</v>
      </c>
      <c r="F27" s="33">
        <f>SUM(F6:F25)</f>
        <v>0</v>
      </c>
      <c r="G27" s="33">
        <f>(E27+F27)</f>
        <v>0</v>
      </c>
      <c r="H27" s="283"/>
    </row>
    <row r="28" spans="1:8" ht="15">
      <c r="A28" s="291" t="s">
        <v>122</v>
      </c>
      <c r="B28" s="292"/>
      <c r="C28" s="292"/>
      <c r="D28" s="293"/>
      <c r="E28" s="33">
        <f>E4</f>
        <v>0</v>
      </c>
      <c r="F28" s="33">
        <f>F4</f>
        <v>0</v>
      </c>
      <c r="G28" s="33">
        <f>E28+F28</f>
        <v>0</v>
      </c>
      <c r="H28" s="283"/>
    </row>
    <row r="29" spans="1:8" ht="15" customHeight="1">
      <c r="A29" s="294" t="s">
        <v>123</v>
      </c>
      <c r="B29" s="295"/>
      <c r="C29" s="295"/>
      <c r="D29" s="296"/>
      <c r="E29" s="46">
        <f>E27+E28</f>
        <v>0</v>
      </c>
      <c r="F29" s="46">
        <f>F27+F28</f>
        <v>0</v>
      </c>
      <c r="G29" s="46">
        <f>G27+G28</f>
        <v>0</v>
      </c>
      <c r="H29" s="283"/>
    </row>
    <row r="30" spans="1:8" ht="35.25" customHeight="1">
      <c r="A30" s="287" t="s">
        <v>124</v>
      </c>
      <c r="B30" s="288"/>
      <c r="C30" s="289"/>
      <c r="D30" s="119"/>
      <c r="E30" s="300"/>
      <c r="F30" s="301"/>
      <c r="G30" s="46">
        <f>(D30*D4)</f>
        <v>0</v>
      </c>
      <c r="H30" s="283"/>
    </row>
    <row r="31" spans="1:8">
      <c r="A31" s="248"/>
      <c r="B31" s="248"/>
      <c r="C31" s="248"/>
      <c r="D31" s="248"/>
      <c r="E31" s="248"/>
      <c r="F31" s="248"/>
      <c r="G31" s="248"/>
      <c r="H31" s="284"/>
    </row>
  </sheetData>
  <mergeCells count="18">
    <mergeCell ref="I1:I2"/>
    <mergeCell ref="A26:G26"/>
    <mergeCell ref="A5:G5"/>
    <mergeCell ref="A1:G1"/>
    <mergeCell ref="A2:A3"/>
    <mergeCell ref="B2:B3"/>
    <mergeCell ref="H1:H31"/>
    <mergeCell ref="A31:G31"/>
    <mergeCell ref="G2:G3"/>
    <mergeCell ref="C2:C3"/>
    <mergeCell ref="D2:D3"/>
    <mergeCell ref="E2:E3"/>
    <mergeCell ref="F2:F3"/>
    <mergeCell ref="E30:F30"/>
    <mergeCell ref="A27:D27"/>
    <mergeCell ref="A28:D28"/>
    <mergeCell ref="A29:D29"/>
    <mergeCell ref="A30:C30"/>
  </mergeCells>
  <phoneticPr fontId="7" type="noConversion"/>
  <printOptions gridLines="1"/>
  <pageMargins left="0.75" right="0.75" top="1" bottom="1" header="0.5" footer="0.5"/>
  <pageSetup scale="75" orientation="portrait" blackAndWhite="1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2060"/>
  </sheetPr>
  <dimension ref="A1:F32"/>
  <sheetViews>
    <sheetView workbookViewId="0">
      <pane ySplit="14" topLeftCell="A15" activePane="bottomLeft" state="frozen"/>
      <selection pane="bottomLeft" activeCell="G7" sqref="G7"/>
      <selection activeCell="E24" sqref="E24"/>
    </sheetView>
  </sheetViews>
  <sheetFormatPr defaultRowHeight="12.75"/>
  <cols>
    <col min="1" max="1" width="46" customWidth="1"/>
    <col min="2" max="2" width="15.140625" customWidth="1"/>
    <col min="3" max="3" width="14" customWidth="1"/>
    <col min="4" max="4" width="13.140625" customWidth="1"/>
    <col min="5" max="5" width="39" customWidth="1"/>
    <col min="6" max="6" width="2.85546875" customWidth="1"/>
  </cols>
  <sheetData>
    <row r="1" spans="1:6" ht="15.75">
      <c r="A1" s="417" t="s">
        <v>166</v>
      </c>
      <c r="B1" s="417"/>
      <c r="C1" s="417"/>
      <c r="D1" s="417"/>
      <c r="E1" s="417"/>
      <c r="F1" s="282"/>
    </row>
    <row r="2" spans="1:6" ht="22.5" customHeight="1">
      <c r="A2" s="338" t="s">
        <v>167</v>
      </c>
      <c r="B2" s="339"/>
      <c r="C2" s="339"/>
      <c r="D2" s="339"/>
      <c r="E2" s="340"/>
      <c r="F2" s="283"/>
    </row>
    <row r="3" spans="1:6" ht="15" customHeight="1">
      <c r="A3" s="341"/>
      <c r="B3" s="342"/>
      <c r="C3" s="343"/>
      <c r="D3" s="343"/>
      <c r="E3" s="344"/>
      <c r="F3" s="283"/>
    </row>
    <row r="4" spans="1:6" ht="15">
      <c r="A4" s="140" t="s">
        <v>168</v>
      </c>
      <c r="B4" s="69">
        <v>1000</v>
      </c>
      <c r="C4" s="71"/>
      <c r="D4" s="71"/>
      <c r="E4" s="141"/>
      <c r="F4" s="283"/>
    </row>
    <row r="5" spans="1:6" ht="15">
      <c r="A5" s="140" t="s">
        <v>169</v>
      </c>
      <c r="B5" s="69">
        <v>150000</v>
      </c>
      <c r="C5" s="351" t="s">
        <v>3</v>
      </c>
      <c r="D5" s="351"/>
      <c r="E5" s="352"/>
      <c r="F5" s="283"/>
    </row>
    <row r="6" spans="1:6" ht="15">
      <c r="A6" s="140" t="s">
        <v>170</v>
      </c>
      <c r="B6" s="69">
        <v>6</v>
      </c>
      <c r="C6" s="351"/>
      <c r="D6" s="351"/>
      <c r="E6" s="352"/>
      <c r="F6" s="283"/>
    </row>
    <row r="7" spans="1:6" ht="15" customHeight="1">
      <c r="A7" s="140" t="s">
        <v>171</v>
      </c>
      <c r="B7" s="29">
        <v>0.5</v>
      </c>
      <c r="C7" s="351" t="s">
        <v>57</v>
      </c>
      <c r="D7" s="351"/>
      <c r="E7" s="352"/>
      <c r="F7" s="283"/>
    </row>
    <row r="8" spans="1:6" ht="15">
      <c r="A8" s="140" t="s">
        <v>172</v>
      </c>
      <c r="B8" s="70">
        <v>0.9</v>
      </c>
      <c r="C8" s="351"/>
      <c r="D8" s="351"/>
      <c r="E8" s="352"/>
      <c r="F8" s="283"/>
    </row>
    <row r="9" spans="1:6" ht="15">
      <c r="A9" s="10" t="s">
        <v>173</v>
      </c>
      <c r="B9" s="67">
        <f>(B5/12)*B6</f>
        <v>75000</v>
      </c>
      <c r="C9" s="5"/>
      <c r="D9" s="5"/>
      <c r="E9" s="142"/>
      <c r="F9" s="283"/>
    </row>
    <row r="10" spans="1:6" ht="15">
      <c r="A10" s="10" t="s">
        <v>174</v>
      </c>
      <c r="B10" s="7">
        <f>B7*B8*B9</f>
        <v>33750</v>
      </c>
      <c r="C10" s="5"/>
      <c r="D10" s="5"/>
      <c r="E10" s="142"/>
      <c r="F10" s="283"/>
    </row>
    <row r="11" spans="1:6" ht="15">
      <c r="A11" s="10" t="s">
        <v>175</v>
      </c>
      <c r="B11" s="7">
        <f>(B10/$B$4)</f>
        <v>33.75</v>
      </c>
      <c r="C11" s="143"/>
      <c r="D11" s="143"/>
      <c r="E11" s="144"/>
      <c r="F11" s="283"/>
    </row>
    <row r="12" spans="1:6" ht="15">
      <c r="A12" s="345"/>
      <c r="B12" s="346"/>
      <c r="C12" s="347"/>
      <c r="D12" s="347"/>
      <c r="E12" s="348"/>
      <c r="F12" s="283"/>
    </row>
    <row r="13" spans="1:6" ht="15">
      <c r="A13" s="10" t="s">
        <v>176</v>
      </c>
      <c r="B13" s="276" t="s">
        <v>177</v>
      </c>
      <c r="C13" s="276" t="s">
        <v>178</v>
      </c>
      <c r="D13" s="276" t="s">
        <v>179</v>
      </c>
      <c r="E13" s="257" t="s">
        <v>119</v>
      </c>
      <c r="F13" s="283"/>
    </row>
    <row r="14" spans="1:6" ht="21.75" customHeight="1">
      <c r="A14" s="92" t="s">
        <v>180</v>
      </c>
      <c r="B14" s="323"/>
      <c r="C14" s="323"/>
      <c r="D14" s="323"/>
      <c r="E14" s="355"/>
      <c r="F14" s="283"/>
    </row>
    <row r="15" spans="1:6" ht="15">
      <c r="A15" s="43"/>
      <c r="B15" s="40"/>
      <c r="C15" s="40"/>
      <c r="D15" s="28"/>
      <c r="E15" s="72">
        <f>(B15+C15)*D15</f>
        <v>0</v>
      </c>
      <c r="F15" s="283"/>
    </row>
    <row r="16" spans="1:6" ht="15">
      <c r="A16" s="27"/>
      <c r="B16" s="21"/>
      <c r="C16" s="21"/>
      <c r="D16" s="28"/>
      <c r="E16" s="72">
        <f t="shared" ref="E16:E24" si="0">(B16+C16)*D16</f>
        <v>0</v>
      </c>
      <c r="F16" s="283"/>
    </row>
    <row r="17" spans="1:6">
      <c r="A17" s="21"/>
      <c r="B17" s="21"/>
      <c r="C17" s="21"/>
      <c r="D17" s="28"/>
      <c r="E17" s="72">
        <f t="shared" si="0"/>
        <v>0</v>
      </c>
      <c r="F17" s="283"/>
    </row>
    <row r="18" spans="1:6">
      <c r="A18" s="21"/>
      <c r="B18" s="21"/>
      <c r="C18" s="21"/>
      <c r="D18" s="28"/>
      <c r="E18" s="72">
        <f t="shared" si="0"/>
        <v>0</v>
      </c>
      <c r="F18" s="283"/>
    </row>
    <row r="19" spans="1:6">
      <c r="A19" s="21"/>
      <c r="B19" s="21"/>
      <c r="C19" s="21"/>
      <c r="D19" s="28"/>
      <c r="E19" s="72">
        <f t="shared" si="0"/>
        <v>0</v>
      </c>
      <c r="F19" s="283"/>
    </row>
    <row r="20" spans="1:6" ht="15">
      <c r="A20" s="27"/>
      <c r="B20" s="21"/>
      <c r="C20" s="21"/>
      <c r="D20" s="28"/>
      <c r="E20" s="72">
        <f t="shared" si="0"/>
        <v>0</v>
      </c>
      <c r="F20" s="283"/>
    </row>
    <row r="21" spans="1:6" ht="15">
      <c r="A21" s="27"/>
      <c r="B21" s="21"/>
      <c r="C21" s="21"/>
      <c r="D21" s="28"/>
      <c r="E21" s="72">
        <f t="shared" si="0"/>
        <v>0</v>
      </c>
      <c r="F21" s="283"/>
    </row>
    <row r="22" spans="1:6" ht="15">
      <c r="A22" s="27"/>
      <c r="B22" s="21"/>
      <c r="C22" s="21"/>
      <c r="D22" s="28"/>
      <c r="E22" s="72">
        <f t="shared" si="0"/>
        <v>0</v>
      </c>
      <c r="F22" s="283"/>
    </row>
    <row r="23" spans="1:6" ht="15">
      <c r="A23" s="27"/>
      <c r="B23" s="21"/>
      <c r="C23" s="21"/>
      <c r="D23" s="28"/>
      <c r="E23" s="72">
        <f t="shared" si="0"/>
        <v>0</v>
      </c>
      <c r="F23" s="283"/>
    </row>
    <row r="24" spans="1:6">
      <c r="A24" s="21"/>
      <c r="B24" s="21"/>
      <c r="C24" s="21"/>
      <c r="D24" s="28"/>
      <c r="E24" s="72">
        <f t="shared" si="0"/>
        <v>0</v>
      </c>
      <c r="F24" s="283"/>
    </row>
    <row r="25" spans="1:6">
      <c r="A25" s="242"/>
      <c r="B25" s="242"/>
      <c r="C25" s="242"/>
      <c r="D25" s="242"/>
      <c r="E25" s="242"/>
      <c r="F25" s="283"/>
    </row>
    <row r="26" spans="1:6" ht="12.75" customHeight="1">
      <c r="A26" s="361" t="s">
        <v>181</v>
      </c>
      <c r="B26" s="361"/>
      <c r="C26" s="362"/>
      <c r="D26" s="356">
        <f>SUM(D15:D24)</f>
        <v>0</v>
      </c>
      <c r="E26" s="359"/>
      <c r="F26" s="283"/>
    </row>
    <row r="27" spans="1:6" ht="33.75" customHeight="1">
      <c r="A27" s="363"/>
      <c r="B27" s="363"/>
      <c r="C27" s="364"/>
      <c r="D27" s="357"/>
      <c r="E27" s="360"/>
      <c r="F27" s="283"/>
    </row>
    <row r="28" spans="1:6">
      <c r="A28" s="354"/>
      <c r="B28" s="354"/>
      <c r="C28" s="354"/>
      <c r="D28" s="354"/>
      <c r="E28" s="354"/>
      <c r="F28" s="283"/>
    </row>
    <row r="29" spans="1:6" ht="30" customHeight="1">
      <c r="A29" s="137" t="s">
        <v>182</v>
      </c>
      <c r="B29" s="139">
        <f>SUM(B15:B24)*D26</f>
        <v>0</v>
      </c>
      <c r="C29" s="139">
        <f>SUM(C15:C24)*D26</f>
        <v>0</v>
      </c>
      <c r="D29" s="11"/>
      <c r="E29" s="138">
        <f>B29+C29</f>
        <v>0</v>
      </c>
      <c r="F29" s="283"/>
    </row>
    <row r="30" spans="1:6">
      <c r="A30" s="358"/>
      <c r="B30" s="358"/>
      <c r="C30" s="248"/>
      <c r="D30" s="248"/>
      <c r="E30" s="248"/>
      <c r="F30" s="283"/>
    </row>
    <row r="31" spans="1:6" ht="31.5" customHeight="1">
      <c r="A31" s="353" t="s">
        <v>183</v>
      </c>
      <c r="B31" s="353"/>
      <c r="C31" s="120"/>
      <c r="D31" s="349">
        <f>C31*D26</f>
        <v>0</v>
      </c>
      <c r="E31" s="350"/>
      <c r="F31" s="283"/>
    </row>
    <row r="32" spans="1:6">
      <c r="A32" s="337"/>
      <c r="B32" s="337"/>
      <c r="C32" s="248"/>
      <c r="D32" s="248"/>
      <c r="E32" s="248"/>
      <c r="F32" s="284"/>
    </row>
  </sheetData>
  <mergeCells count="19">
    <mergeCell ref="A25:E25"/>
    <mergeCell ref="E26:E27"/>
    <mergeCell ref="A26:C27"/>
    <mergeCell ref="F1:F32"/>
    <mergeCell ref="A32:E32"/>
    <mergeCell ref="A1:E1"/>
    <mergeCell ref="B13:B14"/>
    <mergeCell ref="C13:C14"/>
    <mergeCell ref="D13:D14"/>
    <mergeCell ref="A2:E3"/>
    <mergeCell ref="A12:E12"/>
    <mergeCell ref="D31:E31"/>
    <mergeCell ref="C5:E6"/>
    <mergeCell ref="C7:E8"/>
    <mergeCell ref="A31:B31"/>
    <mergeCell ref="A28:E28"/>
    <mergeCell ref="E13:E14"/>
    <mergeCell ref="D26:D27"/>
    <mergeCell ref="A30:E30"/>
  </mergeCells>
  <phoneticPr fontId="7" type="noConversion"/>
  <printOptions gridLines="1"/>
  <pageMargins left="0" right="0" top="0" bottom="0" header="0" footer="0.5"/>
  <pageSetup orientation="landscape" blackAndWhite="1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2060"/>
    <pageSetUpPr fitToPage="1"/>
  </sheetPr>
  <dimension ref="A1:I28"/>
  <sheetViews>
    <sheetView workbookViewId="0">
      <pane ySplit="3" topLeftCell="A4" activePane="bottomLeft" state="frozen"/>
      <selection pane="bottomLeft" activeCell="B4" sqref="B4"/>
    </sheetView>
  </sheetViews>
  <sheetFormatPr defaultRowHeight="12.75"/>
  <cols>
    <col min="1" max="1" width="24.28515625" customWidth="1"/>
    <col min="2" max="2" width="10.85546875" customWidth="1"/>
    <col min="4" max="4" width="10.140625" customWidth="1"/>
    <col min="5" max="5" width="15.5703125" customWidth="1"/>
    <col min="6" max="6" width="13.28515625" customWidth="1"/>
    <col min="7" max="7" width="12.140625" customWidth="1"/>
    <col min="8" max="8" width="3" customWidth="1"/>
    <col min="9" max="9" width="21.85546875" customWidth="1"/>
  </cols>
  <sheetData>
    <row r="1" spans="1:9" ht="33.75" customHeight="1">
      <c r="A1" s="312" t="s">
        <v>184</v>
      </c>
      <c r="B1" s="312"/>
      <c r="C1" s="312"/>
      <c r="D1" s="312"/>
      <c r="E1" s="312"/>
      <c r="F1" s="312"/>
      <c r="G1" s="312"/>
      <c r="H1" s="365"/>
      <c r="I1" s="90" t="s">
        <v>3</v>
      </c>
    </row>
    <row r="2" spans="1:9" ht="33.75" customHeight="1">
      <c r="A2" s="105" t="s">
        <v>114</v>
      </c>
      <c r="B2" s="92" t="s">
        <v>126</v>
      </c>
      <c r="C2" s="92" t="s">
        <v>127</v>
      </c>
      <c r="D2" s="92" t="s">
        <v>86</v>
      </c>
      <c r="E2" s="92" t="s">
        <v>117</v>
      </c>
      <c r="F2" s="92" t="s">
        <v>118</v>
      </c>
      <c r="G2" s="92" t="s">
        <v>150</v>
      </c>
      <c r="H2" s="365"/>
      <c r="I2" s="91" t="s">
        <v>57</v>
      </c>
    </row>
    <row r="3" spans="1:9" ht="12.75" customHeight="1">
      <c r="A3" s="242"/>
      <c r="B3" s="242"/>
      <c r="C3" s="242"/>
      <c r="D3" s="242"/>
      <c r="E3" s="242"/>
      <c r="F3" s="242"/>
      <c r="G3" s="242"/>
      <c r="H3" s="365"/>
    </row>
    <row r="4" spans="1:9" ht="12.75" customHeight="1">
      <c r="A4" s="21" t="s">
        <v>185</v>
      </c>
      <c r="B4" s="29">
        <f>MACH1718!C77</f>
        <v>28.999399999999998</v>
      </c>
      <c r="C4" s="29">
        <f>MACH1718!D77</f>
        <v>1.5498000000000001</v>
      </c>
      <c r="D4" s="30">
        <v>20.36</v>
      </c>
      <c r="E4" s="7">
        <f>(B4*D4)</f>
        <v>590.42778399999997</v>
      </c>
      <c r="F4" s="7">
        <f>(C4*D4)</f>
        <v>31.553927999999999</v>
      </c>
      <c r="G4" s="7">
        <f>(E4+F4)</f>
        <v>621.98171200000002</v>
      </c>
      <c r="H4" s="365"/>
      <c r="I4" s="91"/>
    </row>
    <row r="5" spans="1:9">
      <c r="A5" s="77"/>
      <c r="B5" s="29"/>
      <c r="C5" s="29"/>
      <c r="D5" s="30"/>
      <c r="E5" s="7">
        <f>(B5*D5)</f>
        <v>0</v>
      </c>
      <c r="F5" s="7">
        <f>(C5*D5)</f>
        <v>0</v>
      </c>
      <c r="G5" s="7">
        <f>(E5+F5)</f>
        <v>0</v>
      </c>
      <c r="H5" s="365"/>
    </row>
    <row r="6" spans="1:9">
      <c r="A6" s="77"/>
      <c r="B6" s="29"/>
      <c r="C6" s="29"/>
      <c r="D6" s="30"/>
      <c r="E6" s="7">
        <f>(B6*D6)</f>
        <v>0</v>
      </c>
      <c r="F6" s="7">
        <f t="shared" ref="F6:F15" si="0">(C6*D6)</f>
        <v>0</v>
      </c>
      <c r="G6" s="7">
        <f t="shared" ref="G6:G15" si="1">(E6+F6)</f>
        <v>0</v>
      </c>
      <c r="H6" s="365"/>
    </row>
    <row r="7" spans="1:9">
      <c r="A7" s="21"/>
      <c r="B7" s="29"/>
      <c r="C7" s="29"/>
      <c r="D7" s="30"/>
      <c r="E7" s="7">
        <f t="shared" ref="E7:E15" si="2">(B7*D7)</f>
        <v>0</v>
      </c>
      <c r="F7" s="7">
        <f t="shared" si="0"/>
        <v>0</v>
      </c>
      <c r="G7" s="7">
        <f t="shared" si="1"/>
        <v>0</v>
      </c>
      <c r="H7" s="365"/>
    </row>
    <row r="8" spans="1:9">
      <c r="A8" s="21"/>
      <c r="B8" s="29"/>
      <c r="C8" s="29"/>
      <c r="D8" s="30"/>
      <c r="E8" s="7">
        <f t="shared" si="2"/>
        <v>0</v>
      </c>
      <c r="F8" s="7">
        <f t="shared" si="0"/>
        <v>0</v>
      </c>
      <c r="G8" s="7">
        <f t="shared" si="1"/>
        <v>0</v>
      </c>
      <c r="H8" s="365"/>
    </row>
    <row r="9" spans="1:9">
      <c r="A9" s="21"/>
      <c r="B9" s="29"/>
      <c r="C9" s="29"/>
      <c r="D9" s="30"/>
      <c r="E9" s="7">
        <f t="shared" si="2"/>
        <v>0</v>
      </c>
      <c r="F9" s="7">
        <f t="shared" si="0"/>
        <v>0</v>
      </c>
      <c r="G9" s="7">
        <f t="shared" si="1"/>
        <v>0</v>
      </c>
      <c r="H9" s="365"/>
    </row>
    <row r="10" spans="1:9">
      <c r="A10" s="21"/>
      <c r="B10" s="29"/>
      <c r="C10" s="29"/>
      <c r="D10" s="30"/>
      <c r="E10" s="7">
        <f t="shared" si="2"/>
        <v>0</v>
      </c>
      <c r="F10" s="7">
        <f t="shared" si="0"/>
        <v>0</v>
      </c>
      <c r="G10" s="7">
        <f t="shared" si="1"/>
        <v>0</v>
      </c>
      <c r="H10" s="365"/>
    </row>
    <row r="11" spans="1:9">
      <c r="A11" s="21"/>
      <c r="B11" s="29"/>
      <c r="C11" s="29"/>
      <c r="D11" s="30"/>
      <c r="E11" s="7">
        <f t="shared" si="2"/>
        <v>0</v>
      </c>
      <c r="F11" s="7">
        <f t="shared" si="0"/>
        <v>0</v>
      </c>
      <c r="G11" s="7">
        <f t="shared" si="1"/>
        <v>0</v>
      </c>
      <c r="H11" s="365"/>
    </row>
    <row r="12" spans="1:9">
      <c r="A12" s="21"/>
      <c r="B12" s="29"/>
      <c r="C12" s="29"/>
      <c r="D12" s="30"/>
      <c r="E12" s="7">
        <f t="shared" si="2"/>
        <v>0</v>
      </c>
      <c r="F12" s="7">
        <f t="shared" si="0"/>
        <v>0</v>
      </c>
      <c r="G12" s="7">
        <f t="shared" si="1"/>
        <v>0</v>
      </c>
      <c r="H12" s="365"/>
    </row>
    <row r="13" spans="1:9">
      <c r="A13" s="21"/>
      <c r="B13" s="29"/>
      <c r="C13" s="29"/>
      <c r="D13" s="30"/>
      <c r="E13" s="7">
        <f t="shared" si="2"/>
        <v>0</v>
      </c>
      <c r="F13" s="7">
        <f t="shared" si="0"/>
        <v>0</v>
      </c>
      <c r="G13" s="7">
        <f t="shared" si="1"/>
        <v>0</v>
      </c>
      <c r="H13" s="365"/>
    </row>
    <row r="14" spans="1:9">
      <c r="A14" s="21"/>
      <c r="B14" s="29"/>
      <c r="C14" s="29"/>
      <c r="D14" s="30"/>
      <c r="E14" s="7">
        <f t="shared" si="2"/>
        <v>0</v>
      </c>
      <c r="F14" s="7">
        <f t="shared" si="0"/>
        <v>0</v>
      </c>
      <c r="G14" s="7">
        <f t="shared" si="1"/>
        <v>0</v>
      </c>
      <c r="H14" s="365"/>
    </row>
    <row r="15" spans="1:9">
      <c r="A15" s="21"/>
      <c r="B15" s="29"/>
      <c r="C15" s="29"/>
      <c r="D15" s="30"/>
      <c r="E15" s="7">
        <f t="shared" si="2"/>
        <v>0</v>
      </c>
      <c r="F15" s="7">
        <f t="shared" si="0"/>
        <v>0</v>
      </c>
      <c r="G15" s="7">
        <f t="shared" si="1"/>
        <v>0</v>
      </c>
      <c r="H15" s="365"/>
    </row>
    <row r="16" spans="1:9">
      <c r="A16" s="21"/>
      <c r="B16" s="80"/>
      <c r="C16" s="29"/>
      <c r="D16" s="62"/>
      <c r="E16" s="7">
        <f t="shared" ref="E16:E24" si="3">(B16*D16)</f>
        <v>0</v>
      </c>
      <c r="F16" s="7">
        <f t="shared" ref="F16:F24" si="4">(C16*D16)</f>
        <v>0</v>
      </c>
      <c r="G16" s="7">
        <f t="shared" ref="G16:G24" si="5">(E16+F16)</f>
        <v>0</v>
      </c>
      <c r="H16" s="365"/>
    </row>
    <row r="17" spans="1:8">
      <c r="A17" s="21"/>
      <c r="B17" s="80"/>
      <c r="C17" s="29"/>
      <c r="D17" s="62"/>
      <c r="E17" s="7">
        <f t="shared" si="3"/>
        <v>0</v>
      </c>
      <c r="F17" s="7">
        <f t="shared" si="4"/>
        <v>0</v>
      </c>
      <c r="G17" s="7">
        <f t="shared" si="5"/>
        <v>0</v>
      </c>
      <c r="H17" s="365"/>
    </row>
    <row r="18" spans="1:8">
      <c r="A18" s="21"/>
      <c r="B18" s="29"/>
      <c r="C18" s="29"/>
      <c r="D18" s="62"/>
      <c r="E18" s="7">
        <f t="shared" si="3"/>
        <v>0</v>
      </c>
      <c r="F18" s="7">
        <f t="shared" si="4"/>
        <v>0</v>
      </c>
      <c r="G18" s="7">
        <f t="shared" si="5"/>
        <v>0</v>
      </c>
      <c r="H18" s="365"/>
    </row>
    <row r="19" spans="1:8">
      <c r="A19" s="21"/>
      <c r="B19" s="29"/>
      <c r="C19" s="29"/>
      <c r="D19" s="62"/>
      <c r="E19" s="7">
        <f t="shared" si="3"/>
        <v>0</v>
      </c>
      <c r="F19" s="7">
        <f t="shared" si="4"/>
        <v>0</v>
      </c>
      <c r="G19" s="7">
        <f t="shared" si="5"/>
        <v>0</v>
      </c>
      <c r="H19" s="365"/>
    </row>
    <row r="20" spans="1:8">
      <c r="A20" s="21"/>
      <c r="B20" s="29"/>
      <c r="C20" s="29"/>
      <c r="D20" s="62"/>
      <c r="E20" s="7">
        <f t="shared" si="3"/>
        <v>0</v>
      </c>
      <c r="F20" s="7">
        <f t="shared" si="4"/>
        <v>0</v>
      </c>
      <c r="G20" s="7">
        <f t="shared" si="5"/>
        <v>0</v>
      </c>
      <c r="H20" s="365"/>
    </row>
    <row r="21" spans="1:8">
      <c r="A21" s="21"/>
      <c r="B21" s="29"/>
      <c r="C21" s="29"/>
      <c r="D21" s="62"/>
      <c r="E21" s="7">
        <f t="shared" si="3"/>
        <v>0</v>
      </c>
      <c r="F21" s="7">
        <f t="shared" si="4"/>
        <v>0</v>
      </c>
      <c r="G21" s="7">
        <f t="shared" si="5"/>
        <v>0</v>
      </c>
      <c r="H21" s="365"/>
    </row>
    <row r="22" spans="1:8">
      <c r="A22" s="21"/>
      <c r="B22" s="29"/>
      <c r="C22" s="29"/>
      <c r="D22" s="62"/>
      <c r="E22" s="7">
        <f t="shared" si="3"/>
        <v>0</v>
      </c>
      <c r="F22" s="7">
        <f t="shared" si="4"/>
        <v>0</v>
      </c>
      <c r="G22" s="7">
        <f t="shared" si="5"/>
        <v>0</v>
      </c>
      <c r="H22" s="365"/>
    </row>
    <row r="23" spans="1:8">
      <c r="A23" s="21"/>
      <c r="B23" s="29"/>
      <c r="C23" s="29"/>
      <c r="D23" s="62"/>
      <c r="E23" s="7">
        <f t="shared" si="3"/>
        <v>0</v>
      </c>
      <c r="F23" s="7">
        <f t="shared" si="4"/>
        <v>0</v>
      </c>
      <c r="G23" s="7">
        <f t="shared" si="5"/>
        <v>0</v>
      </c>
      <c r="H23" s="365"/>
    </row>
    <row r="24" spans="1:8">
      <c r="A24" s="21"/>
      <c r="B24" s="29"/>
      <c r="C24" s="29"/>
      <c r="D24" s="62"/>
      <c r="E24" s="7">
        <f t="shared" si="3"/>
        <v>0</v>
      </c>
      <c r="F24" s="7">
        <f t="shared" si="4"/>
        <v>0</v>
      </c>
      <c r="G24" s="7">
        <f t="shared" si="5"/>
        <v>0</v>
      </c>
      <c r="H24" s="365"/>
    </row>
    <row r="25" spans="1:8">
      <c r="A25" s="248"/>
      <c r="B25" s="248"/>
      <c r="C25" s="248"/>
      <c r="D25" s="248"/>
      <c r="E25" s="248"/>
      <c r="F25" s="248"/>
      <c r="G25" s="248"/>
      <c r="H25" s="365"/>
    </row>
    <row r="26" spans="1:8" ht="18.75" customHeight="1">
      <c r="A26" s="287" t="s">
        <v>186</v>
      </c>
      <c r="B26" s="366"/>
      <c r="C26" s="366"/>
      <c r="D26" s="367"/>
      <c r="E26" s="46">
        <f>SUM(E4:E24)</f>
        <v>590.42778399999997</v>
      </c>
      <c r="F26" s="46">
        <f>SUM(F4:F24)</f>
        <v>31.553927999999999</v>
      </c>
      <c r="G26" s="46">
        <f>(E26+F26)</f>
        <v>621.98171200000002</v>
      </c>
      <c r="H26" s="365"/>
    </row>
    <row r="27" spans="1:8">
      <c r="A27" s="248"/>
      <c r="B27" s="248"/>
      <c r="C27" s="248"/>
      <c r="D27" s="248"/>
      <c r="E27" s="248"/>
      <c r="F27" s="248"/>
      <c r="G27" s="248"/>
      <c r="H27" s="337"/>
    </row>
    <row r="28" spans="1:8">
      <c r="D28" s="59"/>
    </row>
  </sheetData>
  <mergeCells count="6">
    <mergeCell ref="H1:H27"/>
    <mergeCell ref="A27:G27"/>
    <mergeCell ref="A26:D26"/>
    <mergeCell ref="A25:G25"/>
    <mergeCell ref="A3:G3"/>
    <mergeCell ref="A1:G1"/>
  </mergeCells>
  <phoneticPr fontId="7" type="noConversion"/>
  <printOptions gridLines="1"/>
  <pageMargins left="0.75" right="0.75" top="1" bottom="1" header="0.5" footer="0.5"/>
  <pageSetup scale="90" orientation="portrait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2060"/>
    <pageSetUpPr fitToPage="1"/>
  </sheetPr>
  <dimension ref="A1:H24"/>
  <sheetViews>
    <sheetView workbookViewId="0">
      <pane ySplit="2" topLeftCell="A3" activePane="bottomLeft" state="frozen"/>
      <selection pane="bottomLeft" activeCell="E6" sqref="E6"/>
    </sheetView>
  </sheetViews>
  <sheetFormatPr defaultRowHeight="12.75"/>
  <cols>
    <col min="1" max="1" width="30.42578125" customWidth="1"/>
    <col min="2" max="2" width="13.42578125" customWidth="1"/>
    <col min="3" max="3" width="14.5703125" customWidth="1"/>
    <col min="4" max="4" width="13.42578125" customWidth="1"/>
    <col min="5" max="5" width="14.7109375" customWidth="1"/>
    <col min="6" max="6" width="16.85546875" customWidth="1"/>
    <col min="7" max="7" width="2.140625" customWidth="1"/>
    <col min="8" max="8" width="28.7109375" customWidth="1"/>
  </cols>
  <sheetData>
    <row r="1" spans="1:8" ht="20.25" customHeight="1">
      <c r="A1" s="105" t="s">
        <v>187</v>
      </c>
      <c r="B1" s="60" t="s">
        <v>188</v>
      </c>
      <c r="C1" s="60" t="s">
        <v>189</v>
      </c>
      <c r="D1" s="60" t="s">
        <v>190</v>
      </c>
      <c r="E1" s="60" t="s">
        <v>191</v>
      </c>
      <c r="F1" s="60" t="s">
        <v>192</v>
      </c>
      <c r="G1" s="283"/>
      <c r="H1" s="306" t="s">
        <v>3</v>
      </c>
    </row>
    <row r="2" spans="1:8" ht="12" customHeight="1">
      <c r="A2" s="253"/>
      <c r="B2" s="242"/>
      <c r="C2" s="242"/>
      <c r="D2" s="242"/>
      <c r="E2" s="242"/>
      <c r="F2" s="254"/>
      <c r="G2" s="283"/>
      <c r="H2" s="306"/>
    </row>
    <row r="3" spans="1:8" ht="12.75" customHeight="1">
      <c r="A3" s="21" t="s">
        <v>193</v>
      </c>
      <c r="B3" s="28" t="s">
        <v>194</v>
      </c>
      <c r="C3" s="30">
        <v>2</v>
      </c>
      <c r="D3" s="151">
        <v>4.4400000000000004</v>
      </c>
      <c r="E3" s="28">
        <v>2</v>
      </c>
      <c r="F3" s="72">
        <f t="shared" ref="F3:F17" si="0">(C3*D3)*E3</f>
        <v>17.760000000000002</v>
      </c>
      <c r="G3" s="283"/>
      <c r="H3" s="290" t="s">
        <v>57</v>
      </c>
    </row>
    <row r="4" spans="1:8" ht="20.25" customHeight="1">
      <c r="A4" s="21" t="s">
        <v>195</v>
      </c>
      <c r="B4" s="28" t="s">
        <v>196</v>
      </c>
      <c r="C4" s="30">
        <v>0.4</v>
      </c>
      <c r="D4" s="151">
        <v>10.5</v>
      </c>
      <c r="E4" s="28">
        <v>2</v>
      </c>
      <c r="F4" s="121">
        <f t="shared" si="0"/>
        <v>8.4</v>
      </c>
      <c r="G4" s="283"/>
      <c r="H4" s="290"/>
    </row>
    <row r="5" spans="1:8" ht="10.5" customHeight="1">
      <c r="A5" s="194"/>
      <c r="B5" s="28"/>
      <c r="C5" s="30"/>
      <c r="D5" s="151"/>
      <c r="E5" s="28"/>
      <c r="F5" s="121"/>
      <c r="G5" s="283"/>
      <c r="H5" s="193"/>
    </row>
    <row r="6" spans="1:8">
      <c r="A6" s="21" t="s">
        <v>197</v>
      </c>
      <c r="B6" s="28" t="s">
        <v>196</v>
      </c>
      <c r="C6" s="30">
        <v>0.5</v>
      </c>
      <c r="D6" s="151">
        <v>24.58</v>
      </c>
      <c r="E6" s="28"/>
      <c r="F6" s="121"/>
      <c r="G6" s="283"/>
    </row>
    <row r="7" spans="1:8">
      <c r="A7" s="194"/>
      <c r="B7" s="28"/>
      <c r="C7" s="30"/>
      <c r="D7" s="151"/>
      <c r="E7" s="28"/>
      <c r="F7" s="121"/>
      <c r="G7" s="283"/>
    </row>
    <row r="8" spans="1:8">
      <c r="A8" s="21" t="s">
        <v>198</v>
      </c>
      <c r="B8" s="28" t="s">
        <v>194</v>
      </c>
      <c r="C8" s="30">
        <v>2</v>
      </c>
      <c r="D8" s="152">
        <v>6.42</v>
      </c>
      <c r="E8" s="28">
        <v>1</v>
      </c>
      <c r="F8" s="72">
        <f t="shared" si="0"/>
        <v>12.84</v>
      </c>
      <c r="G8" s="283"/>
    </row>
    <row r="9" spans="1:8">
      <c r="A9" s="21" t="s">
        <v>199</v>
      </c>
      <c r="B9" s="28" t="s">
        <v>200</v>
      </c>
      <c r="C9" s="30">
        <v>1</v>
      </c>
      <c r="D9" s="152">
        <v>10.74</v>
      </c>
      <c r="E9" s="28">
        <v>1</v>
      </c>
      <c r="F9" s="72">
        <f t="shared" si="0"/>
        <v>10.74</v>
      </c>
      <c r="G9" s="283"/>
    </row>
    <row r="10" spans="1:8">
      <c r="B10" s="28"/>
      <c r="C10" s="30"/>
      <c r="D10" s="152"/>
      <c r="E10" s="28"/>
      <c r="F10" s="72"/>
      <c r="G10" s="283"/>
    </row>
    <row r="11" spans="1:8">
      <c r="A11" s="21" t="s">
        <v>201</v>
      </c>
      <c r="B11" s="28" t="s">
        <v>202</v>
      </c>
      <c r="C11" s="30">
        <v>2</v>
      </c>
      <c r="D11" s="152">
        <v>5.23</v>
      </c>
      <c r="E11" s="28">
        <v>1</v>
      </c>
      <c r="F11" s="72">
        <f t="shared" si="0"/>
        <v>10.46</v>
      </c>
      <c r="G11" s="283"/>
    </row>
    <row r="12" spans="1:8">
      <c r="A12" s="21" t="s">
        <v>203</v>
      </c>
      <c r="B12" s="28" t="s">
        <v>202</v>
      </c>
      <c r="C12" s="30">
        <v>16</v>
      </c>
      <c r="D12" s="152">
        <v>0.8</v>
      </c>
      <c r="E12" s="28">
        <v>1</v>
      </c>
      <c r="F12" s="72">
        <f t="shared" si="0"/>
        <v>12.8</v>
      </c>
      <c r="G12" s="283"/>
    </row>
    <row r="13" spans="1:8">
      <c r="A13" s="21" t="s">
        <v>204</v>
      </c>
      <c r="B13" s="28" t="s">
        <v>205</v>
      </c>
      <c r="C13" s="30">
        <v>0.5</v>
      </c>
      <c r="D13" s="152">
        <v>20</v>
      </c>
      <c r="E13" s="28">
        <v>1</v>
      </c>
      <c r="F13" s="72">
        <f t="shared" si="0"/>
        <v>10</v>
      </c>
      <c r="G13" s="283"/>
    </row>
    <row r="14" spans="1:8">
      <c r="A14" s="21" t="s">
        <v>206</v>
      </c>
      <c r="B14" s="28" t="s">
        <v>196</v>
      </c>
      <c r="C14" s="30">
        <v>0.4</v>
      </c>
      <c r="D14" s="152">
        <v>10.5</v>
      </c>
      <c r="E14" s="28">
        <v>1</v>
      </c>
      <c r="F14" s="72">
        <f t="shared" si="0"/>
        <v>4.2</v>
      </c>
      <c r="G14" s="283"/>
    </row>
    <row r="15" spans="1:8">
      <c r="B15" s="28"/>
      <c r="C15" s="30"/>
      <c r="D15" s="152"/>
      <c r="E15" s="28"/>
      <c r="F15" s="72"/>
      <c r="G15" s="283"/>
    </row>
    <row r="16" spans="1:8">
      <c r="A16" s="21" t="s">
        <v>201</v>
      </c>
      <c r="B16" s="28" t="s">
        <v>202</v>
      </c>
      <c r="C16" s="30">
        <v>2</v>
      </c>
      <c r="D16" s="152">
        <v>5.23</v>
      </c>
      <c r="E16" s="28">
        <v>1</v>
      </c>
      <c r="F16" s="72">
        <f t="shared" si="0"/>
        <v>10.46</v>
      </c>
      <c r="G16" s="283"/>
    </row>
    <row r="17" spans="1:7">
      <c r="A17" s="21" t="s">
        <v>206</v>
      </c>
      <c r="B17" s="28" t="s">
        <v>196</v>
      </c>
      <c r="C17" s="30">
        <v>0.4</v>
      </c>
      <c r="D17" s="152">
        <v>10.5</v>
      </c>
      <c r="E17" s="28">
        <v>1</v>
      </c>
      <c r="F17" s="72">
        <f t="shared" si="0"/>
        <v>4.2</v>
      </c>
      <c r="G17" s="283"/>
    </row>
    <row r="18" spans="1:7">
      <c r="A18" s="21"/>
      <c r="B18" s="28"/>
      <c r="C18" s="30"/>
      <c r="D18" s="30"/>
      <c r="E18" s="28"/>
      <c r="F18" s="72"/>
      <c r="G18" s="283"/>
    </row>
    <row r="19" spans="1:7" ht="11.25" customHeight="1">
      <c r="A19" s="242"/>
      <c r="B19" s="242"/>
      <c r="C19" s="242"/>
      <c r="D19" s="242"/>
      <c r="E19" s="242"/>
      <c r="F19" s="242"/>
      <c r="G19" s="283"/>
    </row>
    <row r="20" spans="1:7" ht="18" customHeight="1">
      <c r="A20" s="368" t="s">
        <v>54</v>
      </c>
      <c r="B20" s="369"/>
      <c r="C20" s="369"/>
      <c r="D20" s="369"/>
      <c r="E20" s="370"/>
      <c r="F20" s="73">
        <f>SUM(F2:F18)</f>
        <v>101.86</v>
      </c>
      <c r="G20" s="283"/>
    </row>
    <row r="21" spans="1:7" ht="11.25" customHeight="1">
      <c r="A21" s="248"/>
      <c r="B21" s="248"/>
      <c r="C21" s="248"/>
      <c r="D21" s="248"/>
      <c r="E21" s="248"/>
      <c r="F21" s="248"/>
      <c r="G21" s="284"/>
    </row>
    <row r="24" spans="1:7">
      <c r="A24" s="156"/>
    </row>
  </sheetData>
  <mergeCells count="7">
    <mergeCell ref="A21:F21"/>
    <mergeCell ref="G1:G21"/>
    <mergeCell ref="A19:F19"/>
    <mergeCell ref="H1:H2"/>
    <mergeCell ref="H3:H4"/>
    <mergeCell ref="A20:E20"/>
    <mergeCell ref="A2:F2"/>
  </mergeCells>
  <phoneticPr fontId="7" type="noConversion"/>
  <printOptions gridLines="1"/>
  <pageMargins left="0.75" right="0.75" top="1" bottom="1" header="0.5" footer="0.5"/>
  <pageSetup scale="90" orientation="portrait" blackAndWhite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2060"/>
    <pageSetUpPr fitToPage="1"/>
  </sheetPr>
  <dimension ref="A1:H28"/>
  <sheetViews>
    <sheetView tabSelected="1" workbookViewId="0">
      <pane ySplit="2" topLeftCell="A3" activePane="bottomLeft" state="frozen"/>
      <selection pane="bottomLeft" activeCell="H14" sqref="H14"/>
      <selection activeCell="E24" sqref="E24"/>
    </sheetView>
  </sheetViews>
  <sheetFormatPr defaultRowHeight="12.75"/>
  <cols>
    <col min="1" max="1" width="27.7109375" customWidth="1"/>
    <col min="2" max="2" width="8.42578125" customWidth="1"/>
    <col min="3" max="3" width="15.5703125" customWidth="1"/>
    <col min="4" max="4" width="14.140625" customWidth="1"/>
    <col min="5" max="5" width="12.5703125" customWidth="1"/>
    <col min="6" max="6" width="17.28515625" customWidth="1"/>
    <col min="7" max="7" width="2.140625" customWidth="1"/>
    <col min="8" max="8" width="22.42578125" customWidth="1"/>
  </cols>
  <sheetData>
    <row r="1" spans="1:8" ht="23.25" customHeight="1">
      <c r="A1" s="106" t="s">
        <v>207</v>
      </c>
      <c r="B1" s="92" t="s">
        <v>188</v>
      </c>
      <c r="C1" s="92" t="s">
        <v>208</v>
      </c>
      <c r="D1" s="92" t="s">
        <v>209</v>
      </c>
      <c r="E1" s="92" t="s">
        <v>191</v>
      </c>
      <c r="F1" s="88" t="s">
        <v>192</v>
      </c>
      <c r="G1" s="376"/>
      <c r="H1" s="306" t="s">
        <v>3</v>
      </c>
    </row>
    <row r="2" spans="1:8" ht="10.5" customHeight="1">
      <c r="A2" s="374"/>
      <c r="B2" s="375"/>
      <c r="C2" s="375"/>
      <c r="D2" s="375"/>
      <c r="E2" s="375"/>
      <c r="F2" s="375"/>
      <c r="G2" s="376"/>
      <c r="H2" s="306"/>
    </row>
    <row r="3" spans="1:8" ht="12.75" customHeight="1">
      <c r="A3" s="21" t="s">
        <v>210</v>
      </c>
      <c r="B3" s="28" t="s">
        <v>202</v>
      </c>
      <c r="C3" s="32">
        <v>0.35</v>
      </c>
      <c r="D3" s="151">
        <v>39.67</v>
      </c>
      <c r="E3" s="28">
        <v>3</v>
      </c>
      <c r="F3" s="72">
        <f t="shared" ref="F3:F23" si="0">(C3*D3)*E3</f>
        <v>41.653499999999994</v>
      </c>
      <c r="G3" s="376"/>
      <c r="H3" s="290" t="s">
        <v>57</v>
      </c>
    </row>
    <row r="4" spans="1:8" ht="12.75" customHeight="1">
      <c r="A4" s="21" t="s">
        <v>211</v>
      </c>
      <c r="B4" s="28" t="s">
        <v>205</v>
      </c>
      <c r="C4" s="32">
        <v>1.5</v>
      </c>
      <c r="D4" s="151">
        <v>6.21</v>
      </c>
      <c r="E4" s="28">
        <v>10</v>
      </c>
      <c r="F4" s="72">
        <f t="shared" si="0"/>
        <v>93.149999999999991</v>
      </c>
      <c r="G4" s="376"/>
      <c r="H4" s="290"/>
    </row>
    <row r="5" spans="1:8">
      <c r="A5" s="21" t="s">
        <v>212</v>
      </c>
      <c r="B5" s="28" t="s">
        <v>205</v>
      </c>
      <c r="C5" s="32">
        <v>1</v>
      </c>
      <c r="D5" s="151">
        <v>4.25</v>
      </c>
      <c r="E5" s="28">
        <v>20</v>
      </c>
      <c r="F5" s="72">
        <f t="shared" si="0"/>
        <v>85</v>
      </c>
      <c r="G5" s="376"/>
      <c r="H5" s="290"/>
    </row>
    <row r="6" spans="1:8">
      <c r="A6" s="21" t="s">
        <v>213</v>
      </c>
      <c r="B6" s="28" t="s">
        <v>200</v>
      </c>
      <c r="C6" s="32">
        <v>1.5</v>
      </c>
      <c r="D6" s="151">
        <v>6.22</v>
      </c>
      <c r="E6" s="28">
        <v>10</v>
      </c>
      <c r="F6" s="72">
        <f t="shared" si="0"/>
        <v>93.3</v>
      </c>
      <c r="G6" s="376"/>
    </row>
    <row r="7" spans="1:8">
      <c r="A7" s="21" t="s">
        <v>214</v>
      </c>
      <c r="B7" s="28" t="s">
        <v>202</v>
      </c>
      <c r="C7" s="19">
        <v>24</v>
      </c>
      <c r="D7" s="195">
        <v>1.83</v>
      </c>
      <c r="E7" s="28">
        <v>2</v>
      </c>
      <c r="F7" s="72">
        <f t="shared" si="0"/>
        <v>87.84</v>
      </c>
      <c r="G7" s="376"/>
    </row>
    <row r="8" spans="1:8">
      <c r="A8" s="21" t="s">
        <v>215</v>
      </c>
      <c r="B8" s="28" t="s">
        <v>202</v>
      </c>
      <c r="C8" s="19">
        <v>8</v>
      </c>
      <c r="D8" s="195">
        <v>4.6399999999999997</v>
      </c>
      <c r="E8" s="28">
        <v>2</v>
      </c>
      <c r="F8" s="72">
        <f t="shared" si="0"/>
        <v>74.239999999999995</v>
      </c>
      <c r="G8" s="376"/>
    </row>
    <row r="9" spans="1:8">
      <c r="A9" s="21" t="s">
        <v>216</v>
      </c>
      <c r="B9" s="28" t="s">
        <v>202</v>
      </c>
      <c r="C9" s="19">
        <v>20</v>
      </c>
      <c r="D9" s="195">
        <v>1.95</v>
      </c>
      <c r="E9" s="28">
        <v>2</v>
      </c>
      <c r="F9" s="72">
        <f t="shared" si="0"/>
        <v>78</v>
      </c>
      <c r="G9" s="376"/>
    </row>
    <row r="10" spans="1:8">
      <c r="A10" s="21" t="s">
        <v>217</v>
      </c>
      <c r="B10" s="28" t="s">
        <v>202</v>
      </c>
      <c r="C10" s="19">
        <v>8</v>
      </c>
      <c r="D10" s="195">
        <v>2.8</v>
      </c>
      <c r="E10" s="28">
        <v>4</v>
      </c>
      <c r="F10" s="72">
        <f t="shared" si="0"/>
        <v>89.6</v>
      </c>
      <c r="G10" s="376"/>
    </row>
    <row r="11" spans="1:8">
      <c r="A11" s="21" t="s">
        <v>218</v>
      </c>
      <c r="B11" s="28" t="s">
        <v>202</v>
      </c>
      <c r="C11" s="19">
        <v>7</v>
      </c>
      <c r="D11" s="195">
        <v>1.89</v>
      </c>
      <c r="E11" s="28">
        <v>2</v>
      </c>
      <c r="F11" s="72">
        <f t="shared" si="0"/>
        <v>26.459999999999997</v>
      </c>
      <c r="G11" s="376"/>
    </row>
    <row r="12" spans="1:8">
      <c r="A12" s="21" t="s">
        <v>219</v>
      </c>
      <c r="B12" s="28" t="s">
        <v>202</v>
      </c>
      <c r="C12" s="19">
        <v>5</v>
      </c>
      <c r="D12" s="195">
        <v>3.13</v>
      </c>
      <c r="E12" s="28">
        <v>2</v>
      </c>
      <c r="F12" s="72">
        <f t="shared" si="0"/>
        <v>31.299999999999997</v>
      </c>
      <c r="G12" s="376"/>
    </row>
    <row r="13" spans="1:8">
      <c r="A13" s="21" t="s">
        <v>220</v>
      </c>
      <c r="B13" s="28" t="s">
        <v>200</v>
      </c>
      <c r="C13" s="19">
        <v>1.5</v>
      </c>
      <c r="D13" s="195">
        <v>11.27</v>
      </c>
      <c r="E13" s="28">
        <v>2</v>
      </c>
      <c r="F13" s="72">
        <f t="shared" si="0"/>
        <v>33.81</v>
      </c>
      <c r="G13" s="376"/>
      <c r="H13" s="156"/>
    </row>
    <row r="14" spans="1:8">
      <c r="A14" s="21" t="s">
        <v>221</v>
      </c>
      <c r="B14" s="28" t="s">
        <v>202</v>
      </c>
      <c r="C14" s="19">
        <v>4</v>
      </c>
      <c r="D14" s="195">
        <v>8.65</v>
      </c>
      <c r="E14" s="28">
        <v>2</v>
      </c>
      <c r="F14" s="72">
        <f t="shared" si="0"/>
        <v>69.2</v>
      </c>
      <c r="G14" s="376"/>
    </row>
    <row r="15" spans="1:8">
      <c r="A15" s="21" t="s">
        <v>222</v>
      </c>
      <c r="B15" s="28" t="s">
        <v>202</v>
      </c>
      <c r="C15" s="19">
        <v>8</v>
      </c>
      <c r="D15" s="195">
        <v>2.5299999999999998</v>
      </c>
      <c r="E15" s="28">
        <v>2</v>
      </c>
      <c r="F15" s="72">
        <f t="shared" si="0"/>
        <v>40.479999999999997</v>
      </c>
      <c r="G15" s="376"/>
    </row>
    <row r="16" spans="1:8">
      <c r="A16" s="21" t="s">
        <v>223</v>
      </c>
      <c r="B16" s="28" t="s">
        <v>196</v>
      </c>
      <c r="C16" s="19">
        <v>0.8</v>
      </c>
      <c r="D16" s="195">
        <v>44</v>
      </c>
      <c r="E16" s="28"/>
      <c r="F16" s="72">
        <f t="shared" si="0"/>
        <v>0</v>
      </c>
      <c r="G16" s="376"/>
    </row>
    <row r="17" spans="1:7">
      <c r="A17" s="21" t="s">
        <v>224</v>
      </c>
      <c r="B17" s="28" t="s">
        <v>205</v>
      </c>
      <c r="C17" s="19">
        <v>40</v>
      </c>
      <c r="D17" s="195">
        <v>3.5</v>
      </c>
      <c r="E17" s="28"/>
      <c r="F17" s="72">
        <f t="shared" si="0"/>
        <v>0</v>
      </c>
      <c r="G17" s="376"/>
    </row>
    <row r="18" spans="1:7">
      <c r="A18" s="21" t="s">
        <v>225</v>
      </c>
      <c r="B18" s="28" t="s">
        <v>196</v>
      </c>
      <c r="C18" s="19">
        <v>4.5999999999999996</v>
      </c>
      <c r="D18" s="195">
        <v>6.58</v>
      </c>
      <c r="E18" s="28"/>
      <c r="F18" s="72">
        <f t="shared" si="0"/>
        <v>0</v>
      </c>
      <c r="G18" s="376"/>
    </row>
    <row r="19" spans="1:7">
      <c r="A19" s="21" t="s">
        <v>226</v>
      </c>
      <c r="B19" s="28" t="s">
        <v>205</v>
      </c>
      <c r="C19" s="19">
        <v>2</v>
      </c>
      <c r="D19" s="195">
        <v>686.31</v>
      </c>
      <c r="E19" s="28"/>
      <c r="F19" s="72">
        <f t="shared" si="0"/>
        <v>0</v>
      </c>
      <c r="G19" s="376"/>
    </row>
    <row r="20" spans="1:7">
      <c r="A20" s="21"/>
      <c r="B20" s="28"/>
      <c r="C20" s="20"/>
      <c r="D20" s="31"/>
      <c r="E20" s="28"/>
      <c r="F20" s="72">
        <f t="shared" si="0"/>
        <v>0</v>
      </c>
      <c r="G20" s="376"/>
    </row>
    <row r="21" spans="1:7">
      <c r="A21" s="21"/>
      <c r="B21" s="28"/>
      <c r="C21" s="20"/>
      <c r="D21" s="31"/>
      <c r="E21" s="28"/>
      <c r="F21" s="72">
        <f t="shared" si="0"/>
        <v>0</v>
      </c>
      <c r="G21" s="376"/>
    </row>
    <row r="22" spans="1:7">
      <c r="A22" s="21"/>
      <c r="B22" s="28"/>
      <c r="C22" s="20"/>
      <c r="D22" s="31"/>
      <c r="E22" s="28"/>
      <c r="F22" s="72">
        <f t="shared" si="0"/>
        <v>0</v>
      </c>
      <c r="G22" s="376"/>
    </row>
    <row r="23" spans="1:7">
      <c r="A23" s="21"/>
      <c r="B23" s="28"/>
      <c r="C23" s="20"/>
      <c r="D23" s="31"/>
      <c r="E23" s="28"/>
      <c r="F23" s="72">
        <f t="shared" si="0"/>
        <v>0</v>
      </c>
      <c r="G23" s="376"/>
    </row>
    <row r="24" spans="1:7" ht="11.25" customHeight="1">
      <c r="A24" s="242"/>
      <c r="B24" s="242"/>
      <c r="C24" s="242"/>
      <c r="D24" s="242"/>
      <c r="E24" s="242"/>
      <c r="F24" s="242"/>
      <c r="G24" s="376"/>
    </row>
    <row r="25" spans="1:7" ht="21" customHeight="1">
      <c r="A25" s="371" t="s">
        <v>54</v>
      </c>
      <c r="B25" s="372"/>
      <c r="C25" s="372"/>
      <c r="D25" s="372"/>
      <c r="E25" s="373"/>
      <c r="F25" s="73">
        <f>SUM(F3:F23)</f>
        <v>844.0335</v>
      </c>
      <c r="G25" s="376"/>
    </row>
    <row r="26" spans="1:7" ht="11.25" customHeight="1">
      <c r="A26" s="248"/>
      <c r="B26" s="248"/>
      <c r="C26" s="248"/>
      <c r="D26" s="248"/>
      <c r="E26" s="248"/>
      <c r="F26" s="248"/>
      <c r="G26" s="377"/>
    </row>
    <row r="28" spans="1:7">
      <c r="A28" s="156"/>
    </row>
  </sheetData>
  <mergeCells count="7">
    <mergeCell ref="H1:H2"/>
    <mergeCell ref="H3:H5"/>
    <mergeCell ref="A25:E25"/>
    <mergeCell ref="A26:F26"/>
    <mergeCell ref="A2:F2"/>
    <mergeCell ref="A24:F24"/>
    <mergeCell ref="G1:G26"/>
  </mergeCells>
  <phoneticPr fontId="7" type="noConversion"/>
  <printOptions gridLines="1"/>
  <pageMargins left="0.75" right="0.75" top="1" bottom="1" header="0.5" footer="0.5"/>
  <pageSetup scale="90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G71"/>
  <sheetViews>
    <sheetView zoomScale="90" zoomScaleNormal="90" workbookViewId="0">
      <pane ySplit="4" topLeftCell="A53" activePane="bottomLeft" state="frozen"/>
      <selection pane="bottomLeft" activeCell="E6" sqref="E6"/>
      <selection activeCell="E24" sqref="E24"/>
    </sheetView>
  </sheetViews>
  <sheetFormatPr defaultColWidth="8.85546875" defaultRowHeight="15.75"/>
  <cols>
    <col min="1" max="1" width="74.28515625" style="1" customWidth="1"/>
    <col min="2" max="2" width="8.28515625" style="2" customWidth="1"/>
    <col min="3" max="3" width="9.7109375" style="2" customWidth="1"/>
    <col min="4" max="4" width="11" style="2" customWidth="1"/>
    <col min="5" max="5" width="20.7109375" style="2" customWidth="1"/>
    <col min="6" max="6" width="7.28515625" style="1" customWidth="1"/>
    <col min="7" max="8" width="8.85546875" style="1" customWidth="1"/>
    <col min="9" max="9" width="8.42578125" style="1" customWidth="1"/>
    <col min="10" max="16384" width="8.85546875" style="1"/>
  </cols>
  <sheetData>
    <row r="1" spans="1:6" ht="19.5" customHeight="1" thickBot="1">
      <c r="A1" s="240" t="s">
        <v>55</v>
      </c>
      <c r="B1" s="241"/>
      <c r="C1" s="244" t="s">
        <v>3</v>
      </c>
      <c r="D1" s="244"/>
      <c r="E1" s="244"/>
      <c r="F1" s="230"/>
    </row>
    <row r="2" spans="1:6" ht="21" customHeight="1" thickTop="1" thickBot="1">
      <c r="A2" s="188" t="s">
        <v>56</v>
      </c>
      <c r="B2" s="86"/>
      <c r="C2" s="247" t="s">
        <v>57</v>
      </c>
      <c r="D2" s="247"/>
      <c r="E2" s="247"/>
      <c r="F2" s="231"/>
    </row>
    <row r="3" spans="1:6" ht="24" customHeight="1" thickTop="1" thickBot="1">
      <c r="A3" s="100" t="s">
        <v>58</v>
      </c>
      <c r="B3" s="109">
        <v>1700</v>
      </c>
      <c r="C3" s="245" t="s">
        <v>59</v>
      </c>
      <c r="D3" s="246"/>
      <c r="E3" s="246"/>
      <c r="F3" s="231"/>
    </row>
    <row r="4" spans="1:6" ht="16.5" thickTop="1">
      <c r="A4" s="87"/>
      <c r="B4" s="110" t="s">
        <v>5</v>
      </c>
      <c r="C4" s="23" t="s">
        <v>60</v>
      </c>
      <c r="D4" s="23" t="s">
        <v>61</v>
      </c>
      <c r="E4" s="102" t="s">
        <v>13</v>
      </c>
      <c r="F4" s="231"/>
    </row>
    <row r="5" spans="1:6">
      <c r="A5" s="101" t="s">
        <v>14</v>
      </c>
      <c r="B5" s="35"/>
      <c r="C5" s="35"/>
      <c r="D5" s="35"/>
      <c r="E5" s="101"/>
      <c r="F5" s="231"/>
    </row>
    <row r="6" spans="1:6">
      <c r="A6" s="9" t="s">
        <v>62</v>
      </c>
      <c r="B6" s="39" t="s">
        <v>63</v>
      </c>
      <c r="C6" s="19">
        <v>4000</v>
      </c>
      <c r="D6" s="20">
        <v>0.16</v>
      </c>
      <c r="E6" s="63">
        <f>C6*D6</f>
        <v>640</v>
      </c>
      <c r="F6" s="231"/>
    </row>
    <row r="7" spans="1:6">
      <c r="A7" s="9" t="s">
        <v>64</v>
      </c>
      <c r="B7" s="18" t="s">
        <v>16</v>
      </c>
      <c r="C7" s="19">
        <v>1</v>
      </c>
      <c r="D7" s="20">
        <v>805</v>
      </c>
      <c r="E7" s="63">
        <f>C7*D7</f>
        <v>805</v>
      </c>
      <c r="F7" s="231"/>
    </row>
    <row r="8" spans="1:6">
      <c r="A8" s="9" t="s">
        <v>18</v>
      </c>
      <c r="B8" s="12" t="s">
        <v>16</v>
      </c>
      <c r="C8" s="13">
        <v>1</v>
      </c>
      <c r="D8" s="6"/>
      <c r="E8" s="63">
        <f>(yourfumigant!F17)</f>
        <v>558.10800000000006</v>
      </c>
      <c r="F8" s="231"/>
    </row>
    <row r="9" spans="1:6">
      <c r="A9" s="9" t="s">
        <v>19</v>
      </c>
      <c r="B9" s="12" t="s">
        <v>16</v>
      </c>
      <c r="C9" s="13">
        <v>1</v>
      </c>
      <c r="D9" s="20"/>
      <c r="E9" s="63">
        <f>C9*D9</f>
        <v>0</v>
      </c>
      <c r="F9" s="231"/>
    </row>
    <row r="10" spans="1:6">
      <c r="A10" s="9" t="s">
        <v>20</v>
      </c>
      <c r="B10" s="18"/>
      <c r="C10" s="19"/>
      <c r="D10" s="20"/>
      <c r="E10" s="63">
        <f>C10*D10</f>
        <v>0</v>
      </c>
      <c r="F10" s="231"/>
    </row>
    <row r="11" spans="1:6">
      <c r="A11" s="9" t="s">
        <v>21</v>
      </c>
      <c r="B11" s="12" t="s">
        <v>16</v>
      </c>
      <c r="C11" s="13">
        <v>1</v>
      </c>
      <c r="D11" s="6"/>
      <c r="E11" s="63">
        <f>(yourherbicides!F20)</f>
        <v>101.86</v>
      </c>
      <c r="F11" s="231"/>
    </row>
    <row r="12" spans="1:6">
      <c r="A12" s="9" t="s">
        <v>22</v>
      </c>
      <c r="B12" s="12" t="s">
        <v>16</v>
      </c>
      <c r="C12" s="13">
        <v>1</v>
      </c>
      <c r="D12" s="6"/>
      <c r="E12" s="63">
        <f>(yourinsecticides!F29)</f>
        <v>715.11500000000001</v>
      </c>
      <c r="F12" s="231"/>
    </row>
    <row r="13" spans="1:6">
      <c r="A13" s="9" t="s">
        <v>23</v>
      </c>
      <c r="B13" s="12" t="s">
        <v>16</v>
      </c>
      <c r="C13" s="13">
        <v>1</v>
      </c>
      <c r="D13" s="6"/>
      <c r="E13" s="63">
        <f>(yourfungicides!F25)</f>
        <v>844.0335</v>
      </c>
      <c r="F13" s="231"/>
    </row>
    <row r="14" spans="1:6">
      <c r="A14" s="9" t="s">
        <v>24</v>
      </c>
      <c r="B14" s="12" t="s">
        <v>16</v>
      </c>
      <c r="C14" s="13">
        <v>1</v>
      </c>
      <c r="D14" s="6"/>
      <c r="E14" s="63">
        <f>'35hp'!E29+'55hp'!E29+'70hp'!E29+'75hp'!E29+'80hp'!E29+'100hp'!E29+'110hp'!E29+'125hp'!E29+'130hp'!E29+'140hp'!E29+'180hp'!E29+'210hp'!E29+SelfProp!B29+MiscEquip!E26</f>
        <v>1349.19983</v>
      </c>
      <c r="F14" s="231"/>
    </row>
    <row r="15" spans="1:6">
      <c r="A15" s="9" t="s">
        <v>65</v>
      </c>
      <c r="B15" s="12" t="s">
        <v>16</v>
      </c>
      <c r="C15" s="13">
        <v>1</v>
      </c>
      <c r="D15" s="6"/>
      <c r="E15" s="63">
        <v>41.18</v>
      </c>
      <c r="F15" s="231"/>
    </row>
    <row r="16" spans="1:6">
      <c r="A16" s="9" t="s">
        <v>66</v>
      </c>
      <c r="B16" s="18"/>
      <c r="C16" s="19">
        <v>1</v>
      </c>
      <c r="D16" s="20">
        <v>885.88</v>
      </c>
      <c r="E16" s="63">
        <f>C16*D16</f>
        <v>885.88</v>
      </c>
      <c r="F16" s="231"/>
    </row>
    <row r="17" spans="1:7">
      <c r="A17" s="9" t="s">
        <v>67</v>
      </c>
      <c r="B17" s="12" t="s">
        <v>16</v>
      </c>
      <c r="C17" s="13">
        <v>1</v>
      </c>
      <c r="D17" s="30">
        <v>1.17</v>
      </c>
      <c r="E17" s="81"/>
      <c r="F17" s="231"/>
    </row>
    <row r="18" spans="1:7">
      <c r="A18" s="9" t="s">
        <v>68</v>
      </c>
      <c r="B18" s="12" t="s">
        <v>16</v>
      </c>
      <c r="C18" s="13">
        <v>1</v>
      </c>
      <c r="D18" s="24"/>
      <c r="E18" s="76">
        <f>('35hp'!G30+'55hp'!G30+'70hp'!G30+'75hp'!G30+'80hp'!G31+'100hp'!G30+'110hp'!G30+'125hp'!G30+'130hp'!G30+'140hp'!G30+'180hp'!G30+'210hp'!G30+SelfProp!D31)*D17</f>
        <v>466.83000000000004</v>
      </c>
      <c r="F18" s="231"/>
    </row>
    <row r="19" spans="1:7">
      <c r="A19" s="9" t="s">
        <v>29</v>
      </c>
      <c r="B19" s="12" t="s">
        <v>16</v>
      </c>
      <c r="C19" s="13">
        <v>1</v>
      </c>
      <c r="D19" s="20">
        <v>43.5</v>
      </c>
      <c r="E19" s="63">
        <f t="shared" ref="E19:E31" si="0">C19*D19</f>
        <v>43.5</v>
      </c>
      <c r="F19" s="231"/>
      <c r="G19" s="186"/>
    </row>
    <row r="20" spans="1:7">
      <c r="A20" s="9" t="s">
        <v>69</v>
      </c>
      <c r="B20" s="12" t="s">
        <v>16</v>
      </c>
      <c r="C20" s="13">
        <v>1</v>
      </c>
      <c r="D20" s="20">
        <v>117.5</v>
      </c>
      <c r="E20" s="63">
        <f t="shared" si="0"/>
        <v>117.5</v>
      </c>
      <c r="F20" s="231"/>
    </row>
    <row r="21" spans="1:7">
      <c r="A21" s="9" t="s">
        <v>31</v>
      </c>
      <c r="B21" s="12" t="s">
        <v>16</v>
      </c>
      <c r="C21" s="13">
        <v>1</v>
      </c>
      <c r="D21" s="20">
        <v>360</v>
      </c>
      <c r="E21" s="63">
        <f t="shared" si="0"/>
        <v>360</v>
      </c>
      <c r="F21" s="231"/>
    </row>
    <row r="22" spans="1:7">
      <c r="A22" s="9" t="s">
        <v>32</v>
      </c>
      <c r="B22" s="12" t="s">
        <v>16</v>
      </c>
      <c r="C22" s="13">
        <v>1</v>
      </c>
      <c r="D22" s="20">
        <v>346</v>
      </c>
      <c r="E22" s="63">
        <f t="shared" si="0"/>
        <v>346</v>
      </c>
      <c r="F22" s="231"/>
    </row>
    <row r="23" spans="1:7">
      <c r="A23" s="9" t="s">
        <v>33</v>
      </c>
      <c r="B23" s="12" t="s">
        <v>16</v>
      </c>
      <c r="C23" s="13">
        <v>1</v>
      </c>
      <c r="D23" s="20">
        <v>40.700000000000003</v>
      </c>
      <c r="E23" s="63">
        <f t="shared" si="0"/>
        <v>40.700000000000003</v>
      </c>
      <c r="F23" s="231"/>
    </row>
    <row r="24" spans="1:7">
      <c r="A24" s="9" t="s">
        <v>34</v>
      </c>
      <c r="B24" s="12" t="s">
        <v>16</v>
      </c>
      <c r="C24" s="13">
        <v>1</v>
      </c>
      <c r="D24" s="20">
        <v>245.5</v>
      </c>
      <c r="E24" s="63">
        <f t="shared" si="0"/>
        <v>245.5</v>
      </c>
      <c r="F24" s="231"/>
    </row>
    <row r="25" spans="1:7">
      <c r="A25" s="9" t="s">
        <v>35</v>
      </c>
      <c r="B25" s="12" t="s">
        <v>16</v>
      </c>
      <c r="C25" s="13">
        <v>1</v>
      </c>
      <c r="D25" s="20">
        <v>128.07</v>
      </c>
      <c r="E25" s="63">
        <f t="shared" si="0"/>
        <v>128.07</v>
      </c>
      <c r="F25" s="231"/>
    </row>
    <row r="26" spans="1:7">
      <c r="A26" s="9" t="s">
        <v>36</v>
      </c>
      <c r="B26" s="12" t="s">
        <v>16</v>
      </c>
      <c r="C26" s="13">
        <v>1</v>
      </c>
      <c r="D26" s="20"/>
      <c r="E26" s="63">
        <f t="shared" si="0"/>
        <v>0</v>
      </c>
      <c r="F26" s="231"/>
    </row>
    <row r="27" spans="1:7">
      <c r="A27" s="9" t="s">
        <v>70</v>
      </c>
      <c r="B27" s="12" t="s">
        <v>16</v>
      </c>
      <c r="C27" s="13">
        <v>1</v>
      </c>
      <c r="D27" s="20">
        <v>40</v>
      </c>
      <c r="E27" s="63">
        <f t="shared" si="0"/>
        <v>40</v>
      </c>
      <c r="F27" s="231"/>
    </row>
    <row r="28" spans="1:7">
      <c r="A28" s="68"/>
      <c r="B28" s="12" t="s">
        <v>16</v>
      </c>
      <c r="C28" s="13">
        <v>1</v>
      </c>
      <c r="D28" s="20"/>
      <c r="E28" s="63">
        <f t="shared" si="0"/>
        <v>0</v>
      </c>
      <c r="F28" s="231"/>
    </row>
    <row r="29" spans="1:7">
      <c r="A29" s="68"/>
      <c r="B29" s="12" t="s">
        <v>16</v>
      </c>
      <c r="C29" s="13">
        <v>1</v>
      </c>
      <c r="D29" s="20"/>
      <c r="E29" s="63">
        <f t="shared" si="0"/>
        <v>0</v>
      </c>
      <c r="F29" s="231"/>
    </row>
    <row r="30" spans="1:7">
      <c r="A30" s="68"/>
      <c r="B30" s="12" t="s">
        <v>16</v>
      </c>
      <c r="C30" s="13">
        <v>1</v>
      </c>
      <c r="D30" s="20"/>
      <c r="E30" s="63">
        <f t="shared" si="0"/>
        <v>0</v>
      </c>
      <c r="F30" s="231"/>
    </row>
    <row r="31" spans="1:7">
      <c r="A31" s="68"/>
      <c r="B31" s="12" t="s">
        <v>16</v>
      </c>
      <c r="C31" s="13">
        <v>1</v>
      </c>
      <c r="D31" s="20"/>
      <c r="E31" s="63">
        <f t="shared" si="0"/>
        <v>0</v>
      </c>
      <c r="F31" s="231"/>
    </row>
    <row r="32" spans="1:7">
      <c r="A32" s="9" t="s">
        <v>71</v>
      </c>
      <c r="B32" s="12" t="s">
        <v>16</v>
      </c>
      <c r="C32" s="13">
        <v>1</v>
      </c>
      <c r="D32" s="42">
        <v>0.08</v>
      </c>
      <c r="E32" s="63"/>
      <c r="F32" s="231"/>
    </row>
    <row r="33" spans="1:6">
      <c r="A33" s="9" t="s">
        <v>72</v>
      </c>
      <c r="B33" s="12" t="s">
        <v>16</v>
      </c>
      <c r="C33" s="13">
        <v>1</v>
      </c>
      <c r="D33" s="66">
        <v>6</v>
      </c>
      <c r="E33" s="63"/>
      <c r="F33" s="231"/>
    </row>
    <row r="34" spans="1:6">
      <c r="A34" s="9" t="s">
        <v>73</v>
      </c>
      <c r="B34" s="12" t="s">
        <v>16</v>
      </c>
      <c r="C34" s="13">
        <v>1</v>
      </c>
      <c r="D34" s="6"/>
      <c r="E34" s="63">
        <f>((E36*D32)/12)*D33</f>
        <v>309.13905320000003</v>
      </c>
      <c r="F34" s="231"/>
    </row>
    <row r="35" spans="1:6" ht="12" customHeight="1">
      <c r="A35" s="242"/>
      <c r="B35" s="242"/>
      <c r="C35" s="242"/>
      <c r="D35" s="242"/>
      <c r="E35" s="242"/>
      <c r="F35" s="231"/>
    </row>
    <row r="36" spans="1:6">
      <c r="A36" s="208" t="s">
        <v>74</v>
      </c>
      <c r="B36" s="209"/>
      <c r="C36" s="209"/>
      <c r="D36" s="210"/>
      <c r="E36" s="82">
        <f>SUM(E6:E31)</f>
        <v>7728.4763300000004</v>
      </c>
      <c r="F36" s="231"/>
    </row>
    <row r="37" spans="1:6" ht="11.25" customHeight="1">
      <c r="A37" s="229"/>
      <c r="B37" s="229"/>
      <c r="C37" s="229"/>
      <c r="D37" s="229"/>
      <c r="E37" s="229"/>
      <c r="F37" s="231"/>
    </row>
    <row r="38" spans="1:6">
      <c r="A38" s="208" t="s">
        <v>75</v>
      </c>
      <c r="B38" s="209"/>
      <c r="C38" s="209"/>
      <c r="D38" s="210"/>
      <c r="E38" s="82">
        <f>E34+E36</f>
        <v>8037.6153832</v>
      </c>
      <c r="F38" s="231"/>
    </row>
    <row r="39" spans="1:6" ht="10.5" customHeight="1">
      <c r="A39" s="229"/>
      <c r="B39" s="229"/>
      <c r="C39" s="229"/>
      <c r="D39" s="229"/>
      <c r="E39" s="229"/>
      <c r="F39" s="231"/>
    </row>
    <row r="40" spans="1:6">
      <c r="A40" s="208" t="s">
        <v>41</v>
      </c>
      <c r="B40" s="209"/>
      <c r="C40" s="209"/>
      <c r="D40" s="209"/>
      <c r="E40" s="209"/>
      <c r="F40" s="231"/>
    </row>
    <row r="41" spans="1:6">
      <c r="A41" s="9" t="s">
        <v>76</v>
      </c>
      <c r="B41" s="12" t="s">
        <v>16</v>
      </c>
      <c r="C41" s="13">
        <v>1</v>
      </c>
      <c r="D41" s="6"/>
      <c r="E41" s="76">
        <f>'35hp'!F29+'55hp'!F29+'70hp'!F29+'75hp'!F29+'80hp'!F29+'100hp'!F29+'110hp'!F29+'125hp'!F29+'130hp'!F29+'140hp'!F29+'180hp'!F29+'210hp'!F29+SelfProp!C29+MiscEquip!F26</f>
        <v>297.06452999999993</v>
      </c>
      <c r="F41" s="231"/>
    </row>
    <row r="42" spans="1:6">
      <c r="A42" s="9" t="s">
        <v>43</v>
      </c>
      <c r="B42" s="12" t="s">
        <v>16</v>
      </c>
      <c r="C42" s="13">
        <v>1</v>
      </c>
      <c r="D42" s="20">
        <v>561.5</v>
      </c>
      <c r="E42" s="63">
        <f>C42*D42</f>
        <v>561.5</v>
      </c>
      <c r="F42" s="231"/>
    </row>
    <row r="43" spans="1:6">
      <c r="A43" s="21"/>
      <c r="B43" s="18"/>
      <c r="C43" s="19"/>
      <c r="D43" s="20"/>
      <c r="E43" s="63">
        <f>C43*D43</f>
        <v>0</v>
      </c>
      <c r="F43" s="231"/>
    </row>
    <row r="44" spans="1:6">
      <c r="A44" s="21"/>
      <c r="B44" s="18"/>
      <c r="C44" s="19"/>
      <c r="D44" s="20"/>
      <c r="E44" s="63">
        <f>C44*D44</f>
        <v>0</v>
      </c>
      <c r="F44" s="231"/>
    </row>
    <row r="45" spans="1:6">
      <c r="A45" s="21"/>
      <c r="B45" s="18"/>
      <c r="C45" s="19"/>
      <c r="D45" s="20"/>
      <c r="E45" s="63">
        <f>C45*D45</f>
        <v>0</v>
      </c>
      <c r="F45" s="231"/>
    </row>
    <row r="46" spans="1:6">
      <c r="A46" s="21"/>
      <c r="B46" s="18"/>
      <c r="C46" s="19"/>
      <c r="D46" s="20"/>
      <c r="E46" s="63">
        <f>C46*D46</f>
        <v>0</v>
      </c>
      <c r="F46" s="231"/>
    </row>
    <row r="47" spans="1:6">
      <c r="A47" s="9" t="s">
        <v>77</v>
      </c>
      <c r="B47" s="12" t="s">
        <v>16</v>
      </c>
      <c r="C47" s="13">
        <v>1</v>
      </c>
      <c r="D47" s="42">
        <v>0.25</v>
      </c>
      <c r="E47" s="63">
        <f>D47*E36</f>
        <v>1932.1190825000001</v>
      </c>
      <c r="F47" s="231"/>
    </row>
    <row r="48" spans="1:6" ht="12.75" customHeight="1">
      <c r="A48" s="242"/>
      <c r="B48" s="242"/>
      <c r="C48" s="242"/>
      <c r="D48" s="242"/>
      <c r="E48" s="242"/>
      <c r="F48" s="231"/>
    </row>
    <row r="49" spans="1:6">
      <c r="A49" s="237" t="s">
        <v>78</v>
      </c>
      <c r="B49" s="238"/>
      <c r="C49" s="238"/>
      <c r="D49" s="239"/>
      <c r="E49" s="82">
        <f>SUM(E41:E46)</f>
        <v>858.56452999999988</v>
      </c>
      <c r="F49" s="231"/>
    </row>
    <row r="50" spans="1:6" ht="12.75" customHeight="1">
      <c r="A50" s="229"/>
      <c r="B50" s="229"/>
      <c r="C50" s="229"/>
      <c r="D50" s="229"/>
      <c r="E50" s="229"/>
      <c r="F50" s="231"/>
    </row>
    <row r="51" spans="1:6">
      <c r="A51" s="237" t="s">
        <v>79</v>
      </c>
      <c r="B51" s="238"/>
      <c r="C51" s="238"/>
      <c r="D51" s="239"/>
      <c r="E51" s="82">
        <f>E49+E47</f>
        <v>2790.6836125</v>
      </c>
      <c r="F51" s="231"/>
    </row>
    <row r="52" spans="1:6" ht="12" customHeight="1">
      <c r="A52" s="229"/>
      <c r="B52" s="229"/>
      <c r="C52" s="229"/>
      <c r="D52" s="229"/>
      <c r="E52" s="229"/>
      <c r="F52" s="231"/>
    </row>
    <row r="53" spans="1:6">
      <c r="A53" s="237" t="s">
        <v>80</v>
      </c>
      <c r="B53" s="238"/>
      <c r="C53" s="238"/>
      <c r="D53" s="239"/>
      <c r="E53" s="82">
        <f>E51+E38</f>
        <v>10828.298995699999</v>
      </c>
      <c r="F53" s="231"/>
    </row>
    <row r="54" spans="1:6" ht="12" customHeight="1">
      <c r="A54" s="229"/>
      <c r="B54" s="229"/>
      <c r="C54" s="229"/>
      <c r="D54" s="229"/>
      <c r="E54" s="229"/>
      <c r="F54" s="231"/>
    </row>
    <row r="55" spans="1:6">
      <c r="A55" s="35" t="s">
        <v>47</v>
      </c>
      <c r="B55" s="16"/>
      <c r="C55" s="17"/>
      <c r="D55" s="14"/>
      <c r="E55" s="83"/>
      <c r="F55" s="231"/>
    </row>
    <row r="56" spans="1:6">
      <c r="A56" s="9" t="s">
        <v>48</v>
      </c>
      <c r="B56" s="12" t="s">
        <v>81</v>
      </c>
      <c r="C56" s="38">
        <f>$B$3</f>
        <v>1700</v>
      </c>
      <c r="D56" s="20">
        <v>2.5</v>
      </c>
      <c r="E56" s="63">
        <f>D56*$B$3</f>
        <v>4250</v>
      </c>
      <c r="F56" s="231"/>
    </row>
    <row r="57" spans="1:6">
      <c r="A57" s="9" t="s">
        <v>49</v>
      </c>
      <c r="B57" s="12" t="s">
        <v>81</v>
      </c>
      <c r="C57" s="38">
        <f>$B$3</f>
        <v>1700</v>
      </c>
      <c r="D57" s="20">
        <v>0.15</v>
      </c>
      <c r="E57" s="63">
        <f t="shared" ref="E57:E62" si="1">D57*$B$3</f>
        <v>255</v>
      </c>
      <c r="F57" s="231"/>
    </row>
    <row r="58" spans="1:6">
      <c r="A58" s="9" t="s">
        <v>50</v>
      </c>
      <c r="B58" s="12" t="s">
        <v>81</v>
      </c>
      <c r="C58" s="38">
        <f>$B$3</f>
        <v>1700</v>
      </c>
      <c r="D58" s="20">
        <v>0.85</v>
      </c>
      <c r="E58" s="63">
        <f t="shared" si="1"/>
        <v>1445</v>
      </c>
      <c r="F58" s="231"/>
    </row>
    <row r="59" spans="1:6">
      <c r="A59" s="9" t="s">
        <v>51</v>
      </c>
      <c r="B59" s="12" t="s">
        <v>81</v>
      </c>
      <c r="C59" s="38">
        <f>$B$3</f>
        <v>1700</v>
      </c>
      <c r="D59" s="20">
        <v>0.05</v>
      </c>
      <c r="E59" s="63">
        <f t="shared" si="1"/>
        <v>85</v>
      </c>
      <c r="F59" s="231"/>
    </row>
    <row r="60" spans="1:6">
      <c r="A60" s="34" t="s">
        <v>52</v>
      </c>
      <c r="B60" s="12" t="s">
        <v>81</v>
      </c>
      <c r="C60" s="38"/>
      <c r="D60" s="20"/>
      <c r="E60" s="63">
        <f t="shared" si="1"/>
        <v>0</v>
      </c>
      <c r="F60" s="231"/>
    </row>
    <row r="61" spans="1:6">
      <c r="A61" s="21"/>
      <c r="B61" s="18"/>
      <c r="C61" s="38"/>
      <c r="D61" s="20"/>
      <c r="E61" s="63">
        <f t="shared" si="1"/>
        <v>0</v>
      </c>
      <c r="F61" s="231"/>
    </row>
    <row r="62" spans="1:6">
      <c r="A62" s="21"/>
      <c r="B62" s="18"/>
      <c r="C62" s="38"/>
      <c r="D62" s="20"/>
      <c r="E62" s="63">
        <f t="shared" si="1"/>
        <v>0</v>
      </c>
      <c r="F62" s="231"/>
    </row>
    <row r="63" spans="1:6">
      <c r="A63" s="208" t="s">
        <v>82</v>
      </c>
      <c r="B63" s="209"/>
      <c r="C63" s="210"/>
      <c r="D63" s="15">
        <f>SUM(D56:D62)</f>
        <v>3.55</v>
      </c>
      <c r="E63" s="82">
        <f>SUM(E56:E62)</f>
        <v>6035</v>
      </c>
      <c r="F63" s="231"/>
    </row>
    <row r="64" spans="1:6" ht="12.75" customHeight="1">
      <c r="A64" s="243"/>
      <c r="B64" s="243"/>
      <c r="C64" s="243"/>
      <c r="D64" s="243"/>
      <c r="E64" s="243"/>
      <c r="F64" s="231"/>
    </row>
    <row r="65" spans="1:6">
      <c r="A65" s="233" t="s">
        <v>83</v>
      </c>
      <c r="B65" s="234"/>
      <c r="C65" s="235"/>
      <c r="D65" s="95">
        <f>E65/B3</f>
        <v>9.9195876445294111</v>
      </c>
      <c r="E65" s="103">
        <f>E53+E63</f>
        <v>16863.298995699999</v>
      </c>
      <c r="F65" s="231"/>
    </row>
    <row r="66" spans="1:6" ht="12.75" customHeight="1">
      <c r="A66" s="236"/>
      <c r="B66" s="236"/>
      <c r="C66" s="236"/>
      <c r="D66" s="236"/>
      <c r="E66" s="236"/>
      <c r="F66" s="232"/>
    </row>
    <row r="67" spans="1:6">
      <c r="B67" s="3"/>
      <c r="C67" s="3"/>
      <c r="D67" s="4"/>
    </row>
    <row r="68" spans="1:6">
      <c r="B68" s="3"/>
      <c r="C68" s="3"/>
      <c r="D68" s="4"/>
    </row>
    <row r="69" spans="1:6">
      <c r="B69" s="3"/>
      <c r="C69" s="3"/>
      <c r="D69" s="4"/>
    </row>
    <row r="70" spans="1:6">
      <c r="B70" s="3"/>
      <c r="C70" s="3"/>
      <c r="D70" s="4"/>
    </row>
    <row r="71" spans="1:6">
      <c r="E71" s="1"/>
    </row>
  </sheetData>
  <mergeCells count="22">
    <mergeCell ref="A64:E64"/>
    <mergeCell ref="C1:E1"/>
    <mergeCell ref="C3:E3"/>
    <mergeCell ref="A40:E40"/>
    <mergeCell ref="A49:D49"/>
    <mergeCell ref="C2:E2"/>
    <mergeCell ref="A37:E37"/>
    <mergeCell ref="A39:E39"/>
    <mergeCell ref="A52:E52"/>
    <mergeCell ref="A54:E54"/>
    <mergeCell ref="F1:F66"/>
    <mergeCell ref="A65:C65"/>
    <mergeCell ref="A63:C63"/>
    <mergeCell ref="A66:E66"/>
    <mergeCell ref="A36:D36"/>
    <mergeCell ref="A38:D38"/>
    <mergeCell ref="A53:D53"/>
    <mergeCell ref="A1:B1"/>
    <mergeCell ref="A48:E48"/>
    <mergeCell ref="A51:D51"/>
    <mergeCell ref="A50:E50"/>
    <mergeCell ref="A35:E35"/>
  </mergeCells>
  <phoneticPr fontId="0" type="noConversion"/>
  <printOptions verticalCentered="1" gridLines="1"/>
  <pageMargins left="0" right="0" top="0" bottom="0" header="0" footer="0"/>
  <pageSetup orientation="landscape" blackAndWhite="1" horizontalDpi="300" verticalDpi="300" r:id="rId1"/>
  <headerFooter alignWithMargins="0"/>
  <ignoredErrors>
    <ignoredError sqref="E8" formula="1"/>
    <ignoredError sqref="E51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2060"/>
    <pageSetUpPr fitToPage="1"/>
  </sheetPr>
  <dimension ref="A1:H32"/>
  <sheetViews>
    <sheetView workbookViewId="0">
      <pane ySplit="2" topLeftCell="A3" activePane="bottomLeft" state="frozen"/>
      <selection pane="bottomLeft" activeCell="H20" sqref="H20"/>
      <selection activeCell="E24" sqref="E24"/>
    </sheetView>
  </sheetViews>
  <sheetFormatPr defaultRowHeight="12.75"/>
  <cols>
    <col min="1" max="1" width="38.42578125" customWidth="1"/>
    <col min="3" max="3" width="13.85546875" customWidth="1"/>
    <col min="4" max="4" width="13" customWidth="1"/>
    <col min="5" max="5" width="12.5703125" customWidth="1"/>
    <col min="6" max="6" width="17.42578125" customWidth="1"/>
    <col min="7" max="7" width="2.140625" customWidth="1"/>
    <col min="8" max="8" width="21.7109375" customWidth="1"/>
  </cols>
  <sheetData>
    <row r="1" spans="1:8" ht="20.25" customHeight="1">
      <c r="A1" s="105" t="s">
        <v>227</v>
      </c>
      <c r="B1" s="60" t="s">
        <v>188</v>
      </c>
      <c r="C1" s="60" t="s">
        <v>208</v>
      </c>
      <c r="D1" s="60" t="s">
        <v>190</v>
      </c>
      <c r="E1" s="58" t="s">
        <v>228</v>
      </c>
      <c r="F1" s="94" t="s">
        <v>192</v>
      </c>
      <c r="G1" s="378"/>
      <c r="H1" s="306" t="s">
        <v>3</v>
      </c>
    </row>
    <row r="2" spans="1:8" ht="10.5" customHeight="1">
      <c r="A2" s="269"/>
      <c r="B2" s="248"/>
      <c r="C2" s="248"/>
      <c r="D2" s="248"/>
      <c r="E2" s="248"/>
      <c r="F2" s="248"/>
      <c r="G2" s="378"/>
      <c r="H2" s="306"/>
    </row>
    <row r="3" spans="1:8" ht="12.75" customHeight="1">
      <c r="A3" s="21" t="s">
        <v>229</v>
      </c>
      <c r="B3" s="28" t="s">
        <v>205</v>
      </c>
      <c r="C3" s="32">
        <v>1.25</v>
      </c>
      <c r="D3" s="29">
        <v>123.08</v>
      </c>
      <c r="E3" s="28">
        <v>1</v>
      </c>
      <c r="F3" s="7">
        <f>(C3*D3)*E3</f>
        <v>153.85</v>
      </c>
      <c r="G3" s="378"/>
      <c r="H3" s="89"/>
    </row>
    <row r="4" spans="1:8">
      <c r="A4" s="21" t="s">
        <v>230</v>
      </c>
      <c r="B4" s="28" t="s">
        <v>202</v>
      </c>
      <c r="C4" s="32">
        <v>6</v>
      </c>
      <c r="D4" s="29">
        <v>7.27</v>
      </c>
      <c r="E4" s="28">
        <v>2</v>
      </c>
      <c r="F4" s="7">
        <f t="shared" ref="F4:F26" si="0">(C4*D4)*E4</f>
        <v>87.24</v>
      </c>
      <c r="G4" s="378"/>
    </row>
    <row r="5" spans="1:8">
      <c r="A5" s="21" t="s">
        <v>231</v>
      </c>
      <c r="B5" s="28" t="s">
        <v>202</v>
      </c>
      <c r="C5" s="32">
        <v>2.75</v>
      </c>
      <c r="D5" s="29">
        <v>6.55</v>
      </c>
      <c r="E5" s="28">
        <v>2</v>
      </c>
      <c r="F5" s="7">
        <f t="shared" si="0"/>
        <v>36.024999999999999</v>
      </c>
      <c r="G5" s="378"/>
    </row>
    <row r="6" spans="1:8">
      <c r="A6" s="21" t="s">
        <v>232</v>
      </c>
      <c r="B6" s="28" t="s">
        <v>202</v>
      </c>
      <c r="C6" s="32">
        <v>3</v>
      </c>
      <c r="D6" s="29">
        <v>6.31</v>
      </c>
      <c r="E6" s="28">
        <v>2</v>
      </c>
      <c r="F6" s="7">
        <f t="shared" si="0"/>
        <v>37.86</v>
      </c>
      <c r="G6" s="378"/>
    </row>
    <row r="7" spans="1:8">
      <c r="A7" s="21" t="s">
        <v>233</v>
      </c>
      <c r="B7" s="28" t="s">
        <v>200</v>
      </c>
      <c r="C7" s="32">
        <v>1.5</v>
      </c>
      <c r="D7" s="29">
        <v>4.76</v>
      </c>
      <c r="E7" s="28">
        <v>3</v>
      </c>
      <c r="F7" s="7">
        <f t="shared" si="0"/>
        <v>21.419999999999998</v>
      </c>
      <c r="G7" s="378"/>
    </row>
    <row r="8" spans="1:8">
      <c r="A8" s="21" t="s">
        <v>234</v>
      </c>
      <c r="B8" s="28" t="s">
        <v>202</v>
      </c>
      <c r="C8" s="32">
        <v>8</v>
      </c>
      <c r="D8" s="29">
        <v>6.58</v>
      </c>
      <c r="E8" s="28">
        <v>3</v>
      </c>
      <c r="F8" s="7">
        <f t="shared" si="0"/>
        <v>157.92000000000002</v>
      </c>
      <c r="G8" s="378"/>
    </row>
    <row r="9" spans="1:8">
      <c r="A9" s="21" t="s">
        <v>235</v>
      </c>
      <c r="B9" s="28" t="s">
        <v>202</v>
      </c>
      <c r="C9" s="32">
        <v>12</v>
      </c>
      <c r="D9" s="29">
        <v>2.36</v>
      </c>
      <c r="E9" s="28">
        <v>2</v>
      </c>
      <c r="F9" s="7">
        <f t="shared" si="0"/>
        <v>56.64</v>
      </c>
      <c r="G9" s="378"/>
    </row>
    <row r="10" spans="1:8">
      <c r="A10" s="21" t="s">
        <v>236</v>
      </c>
      <c r="B10" s="28" t="s">
        <v>202</v>
      </c>
      <c r="C10" s="32">
        <v>8</v>
      </c>
      <c r="D10" s="29">
        <v>1.25</v>
      </c>
      <c r="E10" s="28">
        <v>4</v>
      </c>
      <c r="F10" s="7">
        <f t="shared" si="0"/>
        <v>40</v>
      </c>
      <c r="G10" s="378"/>
    </row>
    <row r="11" spans="1:8">
      <c r="A11" s="21" t="s">
        <v>237</v>
      </c>
      <c r="B11" s="28" t="s">
        <v>202</v>
      </c>
      <c r="C11" s="32">
        <v>4</v>
      </c>
      <c r="D11" s="29">
        <v>0.81</v>
      </c>
      <c r="E11" s="28">
        <v>2</v>
      </c>
      <c r="F11" s="7">
        <f t="shared" si="0"/>
        <v>6.48</v>
      </c>
      <c r="G11" s="378"/>
    </row>
    <row r="12" spans="1:8">
      <c r="A12" s="21" t="s">
        <v>238</v>
      </c>
      <c r="B12" s="28" t="s">
        <v>202</v>
      </c>
      <c r="C12" s="32">
        <v>1</v>
      </c>
      <c r="D12" s="29">
        <v>5.87</v>
      </c>
      <c r="E12" s="28">
        <v>2</v>
      </c>
      <c r="F12" s="7">
        <f t="shared" si="0"/>
        <v>11.74</v>
      </c>
      <c r="G12" s="378"/>
    </row>
    <row r="13" spans="1:8">
      <c r="A13" s="21" t="s">
        <v>239</v>
      </c>
      <c r="B13" s="28" t="s">
        <v>205</v>
      </c>
      <c r="C13" s="32">
        <v>1.25</v>
      </c>
      <c r="D13" s="29">
        <v>14.73</v>
      </c>
      <c r="E13" s="28">
        <v>1</v>
      </c>
      <c r="F13" s="7">
        <f t="shared" si="0"/>
        <v>18.412500000000001</v>
      </c>
      <c r="G13" s="378"/>
    </row>
    <row r="14" spans="1:8">
      <c r="A14" s="21" t="s">
        <v>240</v>
      </c>
      <c r="B14" s="28" t="s">
        <v>205</v>
      </c>
      <c r="C14" s="32">
        <v>1.25</v>
      </c>
      <c r="D14" s="29">
        <v>1.99</v>
      </c>
      <c r="E14" s="28">
        <v>1</v>
      </c>
      <c r="F14" s="7">
        <f t="shared" si="0"/>
        <v>2.4874999999999998</v>
      </c>
      <c r="G14" s="378"/>
    </row>
    <row r="15" spans="1:8">
      <c r="A15" s="21" t="s">
        <v>241</v>
      </c>
      <c r="B15" s="28" t="s">
        <v>196</v>
      </c>
      <c r="C15" s="32">
        <v>0.25</v>
      </c>
      <c r="D15" s="29">
        <v>34.159999999999997</v>
      </c>
      <c r="E15" s="28">
        <v>4</v>
      </c>
      <c r="F15" s="7">
        <f t="shared" si="0"/>
        <v>34.159999999999997</v>
      </c>
      <c r="G15" s="378"/>
    </row>
    <row r="16" spans="1:8">
      <c r="A16" s="21" t="s">
        <v>242</v>
      </c>
      <c r="B16" s="28" t="s">
        <v>202</v>
      </c>
      <c r="C16" s="32">
        <v>8</v>
      </c>
      <c r="D16" s="150">
        <v>3.18</v>
      </c>
      <c r="E16" s="28">
        <v>2</v>
      </c>
      <c r="F16" s="7">
        <f t="shared" si="0"/>
        <v>50.88</v>
      </c>
      <c r="G16" s="378"/>
    </row>
    <row r="17" spans="1:7">
      <c r="A17" s="21" t="s">
        <v>243</v>
      </c>
      <c r="B17" s="28" t="s">
        <v>196</v>
      </c>
      <c r="C17" s="32">
        <v>0.1</v>
      </c>
      <c r="D17" s="150">
        <v>205.8</v>
      </c>
      <c r="E17" s="28"/>
      <c r="F17" s="7">
        <f t="shared" si="0"/>
        <v>0</v>
      </c>
      <c r="G17" s="378"/>
    </row>
    <row r="18" spans="1:7">
      <c r="A18" s="21" t="s">
        <v>244</v>
      </c>
      <c r="B18" s="28" t="s">
        <v>196</v>
      </c>
      <c r="C18" s="32">
        <v>0.1</v>
      </c>
      <c r="D18" s="150">
        <v>302.08</v>
      </c>
      <c r="E18" s="28"/>
      <c r="F18" s="7">
        <f t="shared" si="0"/>
        <v>0</v>
      </c>
      <c r="G18" s="378"/>
    </row>
    <row r="19" spans="1:7">
      <c r="A19" s="21" t="s">
        <v>245</v>
      </c>
      <c r="B19" s="28" t="s">
        <v>196</v>
      </c>
      <c r="C19" s="32">
        <v>0.18</v>
      </c>
      <c r="D19" s="150">
        <v>86.75</v>
      </c>
      <c r="E19" s="28"/>
      <c r="F19" s="7">
        <f t="shared" si="0"/>
        <v>0</v>
      </c>
      <c r="G19" s="378"/>
    </row>
    <row r="20" spans="1:7">
      <c r="A20" s="21" t="s">
        <v>246</v>
      </c>
      <c r="B20" s="28" t="s">
        <v>196</v>
      </c>
      <c r="C20" s="32">
        <v>0.45</v>
      </c>
      <c r="D20" s="150">
        <v>60.6</v>
      </c>
      <c r="E20" s="28"/>
      <c r="F20" s="7">
        <f t="shared" si="0"/>
        <v>0</v>
      </c>
      <c r="G20" s="378"/>
    </row>
    <row r="21" spans="1:7">
      <c r="A21" s="21" t="s">
        <v>240</v>
      </c>
      <c r="B21" s="28" t="s">
        <v>205</v>
      </c>
      <c r="C21" s="32">
        <v>6.5</v>
      </c>
      <c r="D21" s="150">
        <v>1.99</v>
      </c>
      <c r="E21" s="28"/>
      <c r="F21" s="7">
        <f t="shared" si="0"/>
        <v>0</v>
      </c>
      <c r="G21" s="378"/>
    </row>
    <row r="22" spans="1:7">
      <c r="A22" s="21" t="s">
        <v>247</v>
      </c>
      <c r="B22" s="28" t="s">
        <v>196</v>
      </c>
      <c r="C22" s="32">
        <v>0.12</v>
      </c>
      <c r="D22" s="150">
        <v>26</v>
      </c>
      <c r="E22" s="28"/>
      <c r="F22" s="7">
        <f t="shared" si="0"/>
        <v>0</v>
      </c>
      <c r="G22" s="378"/>
    </row>
    <row r="23" spans="1:7">
      <c r="A23" s="21" t="s">
        <v>248</v>
      </c>
      <c r="B23" s="28" t="s">
        <v>205</v>
      </c>
      <c r="C23" s="32">
        <v>1.24</v>
      </c>
      <c r="D23" s="150">
        <v>11.45</v>
      </c>
      <c r="E23" s="28"/>
      <c r="F23" s="7">
        <f t="shared" si="0"/>
        <v>0</v>
      </c>
      <c r="G23" s="378"/>
    </row>
    <row r="24" spans="1:7">
      <c r="A24" s="21" t="s">
        <v>249</v>
      </c>
      <c r="B24" s="28" t="s">
        <v>196</v>
      </c>
      <c r="C24" s="32">
        <v>0.75</v>
      </c>
      <c r="D24" s="150">
        <v>79.48</v>
      </c>
      <c r="E24" s="28"/>
      <c r="F24" s="7">
        <f t="shared" si="0"/>
        <v>0</v>
      </c>
      <c r="G24" s="378"/>
    </row>
    <row r="25" spans="1:7">
      <c r="A25" s="21" t="s">
        <v>250</v>
      </c>
      <c r="B25" s="28" t="s">
        <v>196</v>
      </c>
      <c r="C25" s="32">
        <v>1.5</v>
      </c>
      <c r="D25" s="150">
        <v>40.229999999999997</v>
      </c>
      <c r="E25" s="28"/>
      <c r="F25" s="7">
        <f t="shared" si="0"/>
        <v>0</v>
      </c>
      <c r="G25" s="378"/>
    </row>
    <row r="26" spans="1:7">
      <c r="A26" s="21" t="s">
        <v>251</v>
      </c>
      <c r="B26" s="28" t="s">
        <v>196</v>
      </c>
      <c r="C26" s="32">
        <v>0.75</v>
      </c>
      <c r="D26" s="150">
        <v>33.85</v>
      </c>
      <c r="E26" s="28"/>
      <c r="F26" s="7">
        <f t="shared" si="0"/>
        <v>0</v>
      </c>
      <c r="G26" s="378"/>
    </row>
    <row r="27" spans="1:7">
      <c r="A27" s="21"/>
      <c r="B27" s="28"/>
      <c r="C27" s="78"/>
      <c r="D27" s="32"/>
      <c r="E27" s="28"/>
      <c r="F27" s="7">
        <f>(C27*D27)*E27</f>
        <v>0</v>
      </c>
      <c r="G27" s="378"/>
    </row>
    <row r="28" spans="1:7" ht="11.25" customHeight="1">
      <c r="A28" s="375"/>
      <c r="B28" s="375"/>
      <c r="C28" s="375"/>
      <c r="D28" s="375"/>
      <c r="E28" s="375"/>
      <c r="F28" s="375"/>
      <c r="G28" s="378"/>
    </row>
    <row r="29" spans="1:7" ht="15">
      <c r="A29" s="380" t="s">
        <v>54</v>
      </c>
      <c r="B29" s="381"/>
      <c r="C29" s="381"/>
      <c r="D29" s="381"/>
      <c r="E29" s="382"/>
      <c r="F29" s="33">
        <f>SUM(F3:F27)</f>
        <v>715.11500000000001</v>
      </c>
      <c r="G29" s="378"/>
    </row>
    <row r="30" spans="1:7" ht="11.25" customHeight="1">
      <c r="A30" s="248"/>
      <c r="B30" s="248"/>
      <c r="C30" s="248"/>
      <c r="D30" s="248"/>
      <c r="E30" s="248"/>
      <c r="F30" s="248"/>
      <c r="G30" s="379"/>
    </row>
    <row r="32" spans="1:7">
      <c r="A32" s="156"/>
    </row>
  </sheetData>
  <protectedRanges>
    <protectedRange sqref="A8 A10:A26" name="Range2_1"/>
    <protectedRange sqref="B3:D8 E3:E26 B10:D26" name="Range1_1"/>
  </protectedRanges>
  <mergeCells count="6">
    <mergeCell ref="H1:H2"/>
    <mergeCell ref="A30:F30"/>
    <mergeCell ref="G1:G30"/>
    <mergeCell ref="A29:E29"/>
    <mergeCell ref="A2:F2"/>
    <mergeCell ref="A28:F28"/>
  </mergeCells>
  <phoneticPr fontId="7" type="noConversion"/>
  <printOptions gridLines="1"/>
  <pageMargins left="0.75" right="0.75" top="1" bottom="1" header="0.5" footer="0.5"/>
  <pageSetup scale="8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2060"/>
  </sheetPr>
  <dimension ref="A1:H20"/>
  <sheetViews>
    <sheetView workbookViewId="0">
      <pane ySplit="2" topLeftCell="A3" activePane="bottomLeft" state="frozen"/>
      <selection pane="bottomLeft" activeCell="F24" sqref="F24"/>
      <selection activeCell="E24" sqref="E24"/>
    </sheetView>
  </sheetViews>
  <sheetFormatPr defaultRowHeight="12.75"/>
  <cols>
    <col min="1" max="1" width="23" customWidth="1"/>
    <col min="2" max="2" width="9.7109375" customWidth="1"/>
    <col min="3" max="3" width="14.28515625" customWidth="1"/>
    <col min="4" max="4" width="13.5703125" customWidth="1"/>
    <col min="5" max="5" width="12.28515625" customWidth="1"/>
    <col min="6" max="6" width="18" customWidth="1"/>
    <col min="7" max="7" width="2.42578125" customWidth="1"/>
    <col min="8" max="8" width="21.85546875" customWidth="1"/>
  </cols>
  <sheetData>
    <row r="1" spans="1:8" ht="20.25" customHeight="1">
      <c r="A1" s="105" t="s">
        <v>252</v>
      </c>
      <c r="B1" s="60" t="s">
        <v>188</v>
      </c>
      <c r="C1" s="60" t="s">
        <v>208</v>
      </c>
      <c r="D1" s="60" t="s">
        <v>190</v>
      </c>
      <c r="E1" s="60" t="s">
        <v>228</v>
      </c>
      <c r="F1" s="60" t="s">
        <v>192</v>
      </c>
      <c r="G1" s="283"/>
      <c r="H1" s="306" t="s">
        <v>3</v>
      </c>
    </row>
    <row r="2" spans="1:8" ht="12" customHeight="1">
      <c r="A2" s="269"/>
      <c r="B2" s="248"/>
      <c r="C2" s="248"/>
      <c r="D2" s="248"/>
      <c r="E2" s="248"/>
      <c r="F2" s="262"/>
      <c r="G2" s="283"/>
      <c r="H2" s="306"/>
    </row>
    <row r="3" spans="1:8" ht="12.75" customHeight="1">
      <c r="A3" s="21" t="s">
        <v>253</v>
      </c>
      <c r="B3" s="28" t="s">
        <v>205</v>
      </c>
      <c r="C3" s="149">
        <v>300</v>
      </c>
      <c r="D3" s="29">
        <v>4.1900000000000004</v>
      </c>
      <c r="E3" s="28">
        <v>0.44400000000000001</v>
      </c>
      <c r="F3" s="7">
        <f t="shared" ref="F3:F15" si="0">(C3*D3)*E3</f>
        <v>558.10800000000006</v>
      </c>
      <c r="G3" s="283"/>
      <c r="H3" s="290" t="s">
        <v>57</v>
      </c>
    </row>
    <row r="4" spans="1:8" ht="12.75" customHeight="1">
      <c r="A4" s="21"/>
      <c r="B4" s="28"/>
      <c r="C4" s="29"/>
      <c r="D4" s="32"/>
      <c r="E4" s="28"/>
      <c r="F4" s="7">
        <f t="shared" si="0"/>
        <v>0</v>
      </c>
      <c r="G4" s="283"/>
      <c r="H4" s="290"/>
    </row>
    <row r="5" spans="1:8">
      <c r="A5" s="21"/>
      <c r="B5" s="28"/>
      <c r="C5" s="29"/>
      <c r="D5" s="32"/>
      <c r="E5" s="28"/>
      <c r="F5" s="7">
        <f t="shared" si="0"/>
        <v>0</v>
      </c>
      <c r="G5" s="283"/>
      <c r="H5" s="290"/>
    </row>
    <row r="6" spans="1:8">
      <c r="A6" s="21"/>
      <c r="B6" s="28"/>
      <c r="C6" s="29"/>
      <c r="D6" s="32"/>
      <c r="E6" s="28"/>
      <c r="F6" s="7">
        <f t="shared" si="0"/>
        <v>0</v>
      </c>
      <c r="G6" s="283"/>
    </row>
    <row r="7" spans="1:8">
      <c r="A7" s="21"/>
      <c r="B7" s="28"/>
      <c r="C7" s="29"/>
      <c r="D7" s="32"/>
      <c r="E7" s="28"/>
      <c r="F7" s="7">
        <f t="shared" si="0"/>
        <v>0</v>
      </c>
      <c r="G7" s="283"/>
    </row>
    <row r="8" spans="1:8">
      <c r="A8" s="21"/>
      <c r="B8" s="21"/>
      <c r="C8" s="29"/>
      <c r="D8" s="32"/>
      <c r="E8" s="28"/>
      <c r="F8" s="7">
        <f t="shared" si="0"/>
        <v>0</v>
      </c>
      <c r="G8" s="283"/>
    </row>
    <row r="9" spans="1:8">
      <c r="A9" s="21"/>
      <c r="B9" s="21"/>
      <c r="C9" s="29"/>
      <c r="D9" s="32"/>
      <c r="E9" s="28"/>
      <c r="F9" s="7">
        <f t="shared" si="0"/>
        <v>0</v>
      </c>
      <c r="G9" s="283"/>
    </row>
    <row r="10" spans="1:8">
      <c r="A10" s="21"/>
      <c r="B10" s="21"/>
      <c r="C10" s="29"/>
      <c r="D10" s="32"/>
      <c r="E10" s="28"/>
      <c r="F10" s="7">
        <f t="shared" si="0"/>
        <v>0</v>
      </c>
      <c r="G10" s="283"/>
    </row>
    <row r="11" spans="1:8">
      <c r="A11" s="21"/>
      <c r="B11" s="21"/>
      <c r="C11" s="29"/>
      <c r="D11" s="32"/>
      <c r="E11" s="28"/>
      <c r="F11" s="7">
        <f t="shared" si="0"/>
        <v>0</v>
      </c>
      <c r="G11" s="283"/>
    </row>
    <row r="12" spans="1:8">
      <c r="A12" s="21"/>
      <c r="B12" s="21"/>
      <c r="C12" s="29"/>
      <c r="D12" s="32"/>
      <c r="E12" s="28"/>
      <c r="F12" s="7">
        <f t="shared" si="0"/>
        <v>0</v>
      </c>
      <c r="G12" s="283"/>
    </row>
    <row r="13" spans="1:8">
      <c r="A13" s="21"/>
      <c r="B13" s="21"/>
      <c r="C13" s="29"/>
      <c r="D13" s="32"/>
      <c r="E13" s="28"/>
      <c r="F13" s="7">
        <f t="shared" si="0"/>
        <v>0</v>
      </c>
      <c r="G13" s="283"/>
    </row>
    <row r="14" spans="1:8">
      <c r="A14" s="21"/>
      <c r="B14" s="21"/>
      <c r="C14" s="29"/>
      <c r="D14" s="32"/>
      <c r="E14" s="28"/>
      <c r="F14" s="7">
        <f t="shared" si="0"/>
        <v>0</v>
      </c>
      <c r="G14" s="283"/>
    </row>
    <row r="15" spans="1:8">
      <c r="A15" s="21"/>
      <c r="B15" s="21"/>
      <c r="C15" s="21"/>
      <c r="D15" s="32"/>
      <c r="E15" s="28"/>
      <c r="F15" s="7">
        <f t="shared" si="0"/>
        <v>0</v>
      </c>
      <c r="G15" s="283"/>
    </row>
    <row r="16" spans="1:8">
      <c r="A16" s="242"/>
      <c r="B16" s="242"/>
      <c r="C16" s="242"/>
      <c r="D16" s="242"/>
      <c r="E16" s="242"/>
      <c r="F16" s="242"/>
      <c r="G16" s="283"/>
    </row>
    <row r="17" spans="1:7" ht="20.25" customHeight="1">
      <c r="A17" s="368" t="s">
        <v>54</v>
      </c>
      <c r="B17" s="369"/>
      <c r="C17" s="369"/>
      <c r="D17" s="369"/>
      <c r="E17" s="370"/>
      <c r="F17" s="46">
        <f>SUM(F3:F15)</f>
        <v>558.10800000000006</v>
      </c>
      <c r="G17" s="283"/>
    </row>
    <row r="18" spans="1:7">
      <c r="A18" s="248"/>
      <c r="B18" s="248"/>
      <c r="C18" s="248"/>
      <c r="D18" s="248"/>
      <c r="E18" s="248"/>
      <c r="F18" s="248"/>
      <c r="G18" s="284"/>
    </row>
    <row r="20" spans="1:7" ht="15">
      <c r="A20" s="35" t="s">
        <v>254</v>
      </c>
      <c r="B20" s="60" t="s">
        <v>205</v>
      </c>
      <c r="C20" s="60">
        <v>350</v>
      </c>
      <c r="D20" s="145">
        <v>6.5</v>
      </c>
      <c r="E20" s="145"/>
      <c r="F20" s="72">
        <f>C20*D20</f>
        <v>2275</v>
      </c>
    </row>
  </sheetData>
  <mergeCells count="7">
    <mergeCell ref="A16:F16"/>
    <mergeCell ref="H1:H2"/>
    <mergeCell ref="A2:F2"/>
    <mergeCell ref="G1:G18"/>
    <mergeCell ref="A18:F18"/>
    <mergeCell ref="A17:E17"/>
    <mergeCell ref="H3:H5"/>
  </mergeCells>
  <phoneticPr fontId="7" type="noConversion"/>
  <printOptions verticalCentered="1" gridLines="1"/>
  <pageMargins left="0" right="0" top="0" bottom="0" header="0" footer="0"/>
  <pageSetup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2060"/>
  </sheetPr>
  <dimension ref="A1:J137"/>
  <sheetViews>
    <sheetView workbookViewId="0">
      <pane ySplit="4" topLeftCell="A5" activePane="bottomLeft" state="frozen"/>
      <selection pane="bottomLeft" activeCell="J120" sqref="J120"/>
    </sheetView>
  </sheetViews>
  <sheetFormatPr defaultRowHeight="12.75"/>
  <cols>
    <col min="1" max="1" width="31.5703125" customWidth="1"/>
    <col min="2" max="2" width="9.5703125" customWidth="1"/>
    <col min="3" max="3" width="10.28515625" customWidth="1"/>
    <col min="4" max="4" width="10.140625" style="59" customWidth="1"/>
    <col min="5" max="5" width="11.7109375" customWidth="1"/>
    <col min="6" max="6" width="2.28515625" customWidth="1"/>
    <col min="7" max="9" width="9.140625" style="157" customWidth="1"/>
    <col min="10" max="10" width="20.85546875" customWidth="1"/>
  </cols>
  <sheetData>
    <row r="1" spans="1:9" ht="12" customHeight="1">
      <c r="A1" s="385"/>
      <c r="B1" s="386"/>
      <c r="C1" s="386"/>
      <c r="D1" s="386"/>
      <c r="E1" s="387"/>
      <c r="F1" s="384"/>
    </row>
    <row r="2" spans="1:9" ht="15" customHeight="1">
      <c r="A2" s="267" t="s">
        <v>255</v>
      </c>
      <c r="B2" s="418" t="s">
        <v>256</v>
      </c>
      <c r="C2" s="419"/>
      <c r="D2" s="276" t="s">
        <v>257</v>
      </c>
      <c r="E2" s="276" t="s">
        <v>258</v>
      </c>
      <c r="F2" s="384"/>
    </row>
    <row r="3" spans="1:9" ht="30" customHeight="1">
      <c r="A3" s="420"/>
      <c r="B3" s="92" t="s">
        <v>259</v>
      </c>
      <c r="C3" s="92" t="s">
        <v>260</v>
      </c>
      <c r="D3" s="277"/>
      <c r="E3" s="277"/>
      <c r="F3" s="384"/>
      <c r="G3" s="383"/>
      <c r="H3" s="383"/>
      <c r="I3" s="383"/>
    </row>
    <row r="4" spans="1:9" ht="12.75" customHeight="1">
      <c r="A4" s="389"/>
      <c r="B4" s="390"/>
      <c r="C4" s="390"/>
      <c r="D4" s="390"/>
      <c r="E4" s="391"/>
      <c r="F4" s="384"/>
      <c r="G4" s="158"/>
      <c r="H4" s="158"/>
      <c r="I4" s="158"/>
    </row>
    <row r="5" spans="1:9" ht="12.75" customHeight="1">
      <c r="A5" s="9" t="s">
        <v>261</v>
      </c>
      <c r="B5" s="113">
        <v>30.76</v>
      </c>
      <c r="C5" s="113">
        <v>0.62</v>
      </c>
      <c r="D5" s="99">
        <v>1</v>
      </c>
      <c r="E5" s="98">
        <f t="shared" ref="E5:E36" si="0">SUM(B5,C5)*D5</f>
        <v>31.380000000000003</v>
      </c>
      <c r="F5" s="384"/>
    </row>
    <row r="6" spans="1:9" ht="12.75" customHeight="1">
      <c r="A6" s="9" t="s">
        <v>262</v>
      </c>
      <c r="B6" s="7">
        <v>0.92</v>
      </c>
      <c r="C6" s="7">
        <v>1.71</v>
      </c>
      <c r="D6" s="99">
        <v>1</v>
      </c>
      <c r="E6" s="98">
        <f t="shared" si="0"/>
        <v>2.63</v>
      </c>
      <c r="F6" s="384"/>
    </row>
    <row r="7" spans="1:9" ht="12.75" customHeight="1">
      <c r="A7" s="9" t="s">
        <v>263</v>
      </c>
      <c r="B7" s="7">
        <v>1.85</v>
      </c>
      <c r="C7" s="7">
        <v>3.41</v>
      </c>
      <c r="D7" s="99">
        <v>1</v>
      </c>
      <c r="E7" s="98">
        <f t="shared" si="0"/>
        <v>5.26</v>
      </c>
      <c r="F7" s="384"/>
    </row>
    <row r="8" spans="1:9" ht="12.75" customHeight="1">
      <c r="A8" s="9" t="s">
        <v>264</v>
      </c>
      <c r="B8" s="7">
        <v>4.62</v>
      </c>
      <c r="C8" s="7">
        <v>8.5299999999999994</v>
      </c>
      <c r="D8" s="99">
        <v>1</v>
      </c>
      <c r="E8" s="98">
        <f t="shared" si="0"/>
        <v>13.149999999999999</v>
      </c>
      <c r="F8" s="384"/>
    </row>
    <row r="9" spans="1:9" ht="12.75" customHeight="1">
      <c r="A9" s="9" t="s">
        <v>265</v>
      </c>
      <c r="B9" s="7">
        <v>4.37</v>
      </c>
      <c r="C9" s="7">
        <v>14.49</v>
      </c>
      <c r="D9" s="99">
        <v>1</v>
      </c>
      <c r="E9" s="98">
        <f t="shared" si="0"/>
        <v>18.86</v>
      </c>
      <c r="F9" s="384"/>
    </row>
    <row r="10" spans="1:9" ht="12.75" customHeight="1">
      <c r="A10" s="9" t="s">
        <v>266</v>
      </c>
      <c r="B10" s="7">
        <v>0.57999999999999996</v>
      </c>
      <c r="C10" s="7">
        <v>1.92</v>
      </c>
      <c r="D10" s="99">
        <v>1</v>
      </c>
      <c r="E10" s="98">
        <f t="shared" si="0"/>
        <v>2.5</v>
      </c>
      <c r="F10" s="384"/>
    </row>
    <row r="11" spans="1:9" ht="12.75" customHeight="1">
      <c r="A11" s="9" t="s">
        <v>267</v>
      </c>
      <c r="B11" s="7">
        <v>0.9</v>
      </c>
      <c r="C11" s="7">
        <v>2.98</v>
      </c>
      <c r="D11" s="99">
        <v>1</v>
      </c>
      <c r="E11" s="98">
        <f t="shared" si="0"/>
        <v>3.88</v>
      </c>
      <c r="F11" s="384"/>
    </row>
    <row r="12" spans="1:9" ht="12.75" customHeight="1">
      <c r="A12" s="9" t="s">
        <v>268</v>
      </c>
      <c r="B12" s="7">
        <v>0.9</v>
      </c>
      <c r="C12" s="7">
        <v>2.98</v>
      </c>
      <c r="D12" s="99">
        <v>1</v>
      </c>
      <c r="E12" s="98">
        <f t="shared" si="0"/>
        <v>3.88</v>
      </c>
      <c r="F12" s="384"/>
    </row>
    <row r="13" spans="1:9" ht="12.75" customHeight="1">
      <c r="A13" s="9" t="s">
        <v>269</v>
      </c>
      <c r="B13" s="7">
        <v>0.57999999999999996</v>
      </c>
      <c r="C13" s="7">
        <v>1.92</v>
      </c>
      <c r="D13" s="99">
        <v>1</v>
      </c>
      <c r="E13" s="98">
        <f t="shared" si="0"/>
        <v>2.5</v>
      </c>
      <c r="F13" s="384"/>
    </row>
    <row r="14" spans="1:9" ht="12.75" customHeight="1">
      <c r="A14" s="9" t="s">
        <v>270</v>
      </c>
      <c r="B14" s="7">
        <v>0.77</v>
      </c>
      <c r="C14" s="7">
        <v>2.56</v>
      </c>
      <c r="D14" s="99">
        <v>1</v>
      </c>
      <c r="E14" s="98">
        <f t="shared" si="0"/>
        <v>3.33</v>
      </c>
      <c r="F14" s="384"/>
    </row>
    <row r="15" spans="1:9" ht="12.75" customHeight="1">
      <c r="A15" s="9" t="s">
        <v>271</v>
      </c>
      <c r="B15" s="7">
        <v>0.77</v>
      </c>
      <c r="C15" s="7">
        <v>2.56</v>
      </c>
      <c r="D15" s="99">
        <v>1</v>
      </c>
      <c r="E15" s="98">
        <f t="shared" si="0"/>
        <v>3.33</v>
      </c>
      <c r="F15" s="384"/>
    </row>
    <row r="16" spans="1:9" ht="12.75" customHeight="1">
      <c r="A16" s="9" t="s">
        <v>272</v>
      </c>
      <c r="B16" s="7">
        <v>0.83</v>
      </c>
      <c r="C16" s="7">
        <v>2.77</v>
      </c>
      <c r="D16" s="99">
        <v>1</v>
      </c>
      <c r="E16" s="98">
        <f t="shared" si="0"/>
        <v>3.6</v>
      </c>
      <c r="F16" s="384"/>
    </row>
    <row r="17" spans="1:6" ht="12.75" customHeight="1">
      <c r="A17" s="9" t="s">
        <v>273</v>
      </c>
      <c r="B17" s="7">
        <v>0.96</v>
      </c>
      <c r="C17" s="7">
        <v>3.2</v>
      </c>
      <c r="D17" s="99">
        <v>1</v>
      </c>
      <c r="E17" s="98">
        <f t="shared" si="0"/>
        <v>4.16</v>
      </c>
      <c r="F17" s="384"/>
    </row>
    <row r="18" spans="1:6" ht="12.75" customHeight="1">
      <c r="A18" s="9" t="s">
        <v>274</v>
      </c>
      <c r="B18" s="7">
        <v>0.96</v>
      </c>
      <c r="C18" s="7">
        <v>3.2</v>
      </c>
      <c r="D18" s="99">
        <v>1</v>
      </c>
      <c r="E18" s="98">
        <f t="shared" si="0"/>
        <v>4.16</v>
      </c>
      <c r="F18" s="384"/>
    </row>
    <row r="19" spans="1:6" ht="12.75" customHeight="1">
      <c r="A19" s="9" t="s">
        <v>275</v>
      </c>
      <c r="B19" s="7">
        <v>1.03</v>
      </c>
      <c r="C19" s="7">
        <v>3.41</v>
      </c>
      <c r="D19" s="99">
        <v>1</v>
      </c>
      <c r="E19" s="98">
        <f t="shared" si="0"/>
        <v>4.4400000000000004</v>
      </c>
      <c r="F19" s="384"/>
    </row>
    <row r="20" spans="1:6" ht="12.75" customHeight="1">
      <c r="A20" s="9" t="s">
        <v>276</v>
      </c>
      <c r="B20" s="7">
        <v>1.54</v>
      </c>
      <c r="C20" s="7">
        <v>5.12</v>
      </c>
      <c r="D20" s="99">
        <v>1</v>
      </c>
      <c r="E20" s="98">
        <f t="shared" si="0"/>
        <v>6.66</v>
      </c>
      <c r="F20" s="384"/>
    </row>
    <row r="21" spans="1:6" ht="12.75" customHeight="1">
      <c r="A21" s="9" t="s">
        <v>277</v>
      </c>
      <c r="B21" s="7">
        <v>2.4300000000000002</v>
      </c>
      <c r="C21" s="7">
        <v>8.06</v>
      </c>
      <c r="D21" s="99">
        <v>1</v>
      </c>
      <c r="E21" s="98">
        <f t="shared" si="0"/>
        <v>10.49</v>
      </c>
      <c r="F21" s="384"/>
    </row>
    <row r="22" spans="1:6" ht="12.75" customHeight="1">
      <c r="A22" s="9" t="s">
        <v>278</v>
      </c>
      <c r="B22" s="7">
        <v>2.4300000000000002</v>
      </c>
      <c r="C22" s="7">
        <v>8.06</v>
      </c>
      <c r="D22" s="99">
        <v>1</v>
      </c>
      <c r="E22" s="98">
        <f t="shared" si="0"/>
        <v>10.49</v>
      </c>
      <c r="F22" s="384"/>
    </row>
    <row r="23" spans="1:6" ht="12.75" customHeight="1">
      <c r="A23" s="9" t="s">
        <v>279</v>
      </c>
      <c r="B23" s="7">
        <v>1.22</v>
      </c>
      <c r="C23" s="7">
        <v>4.05</v>
      </c>
      <c r="D23" s="99">
        <v>1</v>
      </c>
      <c r="E23" s="98">
        <f t="shared" si="0"/>
        <v>5.27</v>
      </c>
      <c r="F23" s="384"/>
    </row>
    <row r="24" spans="1:6" ht="12.75" customHeight="1">
      <c r="A24" s="9" t="s">
        <v>280</v>
      </c>
      <c r="B24" s="7">
        <v>0.57999999999999996</v>
      </c>
      <c r="C24" s="7">
        <v>1.92</v>
      </c>
      <c r="D24" s="99">
        <v>1</v>
      </c>
      <c r="E24" s="98">
        <f t="shared" si="0"/>
        <v>2.5</v>
      </c>
      <c r="F24" s="384"/>
    </row>
    <row r="25" spans="1:6" ht="12.75" customHeight="1">
      <c r="A25" s="9" t="s">
        <v>281</v>
      </c>
      <c r="B25" s="7">
        <v>0.26</v>
      </c>
      <c r="C25" s="7">
        <v>0.85</v>
      </c>
      <c r="D25" s="99">
        <v>1</v>
      </c>
      <c r="E25" s="98">
        <f t="shared" si="0"/>
        <v>1.1099999999999999</v>
      </c>
      <c r="F25" s="384"/>
    </row>
    <row r="26" spans="1:6" ht="12.75" customHeight="1">
      <c r="A26" s="9" t="s">
        <v>282</v>
      </c>
      <c r="B26" s="7">
        <v>4.7300000000000004</v>
      </c>
      <c r="C26" s="7">
        <v>10.3</v>
      </c>
      <c r="D26" s="99">
        <v>1</v>
      </c>
      <c r="E26" s="98">
        <f t="shared" si="0"/>
        <v>15.030000000000001</v>
      </c>
      <c r="F26" s="384"/>
    </row>
    <row r="27" spans="1:6" ht="12.75" customHeight="1">
      <c r="A27" s="9" t="s">
        <v>283</v>
      </c>
      <c r="B27" s="7">
        <v>9.1</v>
      </c>
      <c r="C27" s="7">
        <v>7.08</v>
      </c>
      <c r="D27" s="99">
        <v>1</v>
      </c>
      <c r="E27" s="98">
        <f t="shared" si="0"/>
        <v>16.18</v>
      </c>
      <c r="F27" s="384"/>
    </row>
    <row r="28" spans="1:6" ht="12.75" customHeight="1">
      <c r="A28" s="9" t="s">
        <v>284</v>
      </c>
      <c r="B28" s="7">
        <v>7.9</v>
      </c>
      <c r="C28" s="7">
        <v>6.14</v>
      </c>
      <c r="D28" s="99">
        <v>1</v>
      </c>
      <c r="E28" s="98">
        <f t="shared" si="0"/>
        <v>14.04</v>
      </c>
      <c r="F28" s="384"/>
    </row>
    <row r="29" spans="1:6" ht="12.75" customHeight="1">
      <c r="A29" s="9" t="s">
        <v>285</v>
      </c>
      <c r="B29" s="7">
        <v>11.51</v>
      </c>
      <c r="C29" s="7">
        <v>8.9499999999999993</v>
      </c>
      <c r="D29" s="99">
        <v>1</v>
      </c>
      <c r="E29" s="98">
        <f t="shared" si="0"/>
        <v>20.46</v>
      </c>
      <c r="F29" s="384"/>
    </row>
    <row r="30" spans="1:6" ht="12.75" customHeight="1">
      <c r="A30" s="9" t="s">
        <v>286</v>
      </c>
      <c r="B30" s="7">
        <v>1.51</v>
      </c>
      <c r="C30" s="7">
        <v>1.71</v>
      </c>
      <c r="D30" s="99">
        <v>1</v>
      </c>
      <c r="E30" s="98">
        <f t="shared" si="0"/>
        <v>3.2199999999999998</v>
      </c>
      <c r="F30" s="384"/>
    </row>
    <row r="31" spans="1:6" ht="12.75" customHeight="1">
      <c r="A31" s="9" t="s">
        <v>287</v>
      </c>
      <c r="B31" s="7">
        <v>45.77</v>
      </c>
      <c r="C31" s="7">
        <v>54.72</v>
      </c>
      <c r="D31" s="99">
        <v>1</v>
      </c>
      <c r="E31" s="98">
        <f t="shared" si="0"/>
        <v>100.49000000000001</v>
      </c>
      <c r="F31" s="384"/>
    </row>
    <row r="32" spans="1:6" ht="12.75" customHeight="1">
      <c r="A32" s="9" t="s">
        <v>288</v>
      </c>
      <c r="B32" s="7">
        <v>33.65</v>
      </c>
      <c r="C32" s="7">
        <v>16.420000000000002</v>
      </c>
      <c r="D32" s="99">
        <v>1</v>
      </c>
      <c r="E32" s="98">
        <f t="shared" si="0"/>
        <v>50.07</v>
      </c>
      <c r="F32" s="384"/>
    </row>
    <row r="33" spans="1:6" ht="12.75" customHeight="1">
      <c r="A33" s="9" t="s">
        <v>289</v>
      </c>
      <c r="B33" s="7">
        <v>1.95</v>
      </c>
      <c r="C33" s="7">
        <v>2.56</v>
      </c>
      <c r="D33" s="99">
        <v>1</v>
      </c>
      <c r="E33" s="98">
        <f t="shared" si="0"/>
        <v>4.51</v>
      </c>
      <c r="F33" s="384"/>
    </row>
    <row r="34" spans="1:6" ht="12.75" customHeight="1">
      <c r="A34" s="9" t="s">
        <v>290</v>
      </c>
      <c r="B34" s="7">
        <v>2.59</v>
      </c>
      <c r="C34" s="7">
        <v>3.41</v>
      </c>
      <c r="D34" s="99">
        <v>1</v>
      </c>
      <c r="E34" s="98">
        <f t="shared" si="0"/>
        <v>6</v>
      </c>
      <c r="F34" s="384"/>
    </row>
    <row r="35" spans="1:6" ht="12.75" customHeight="1">
      <c r="A35" s="9" t="s">
        <v>104</v>
      </c>
      <c r="B35" s="7">
        <v>2.59</v>
      </c>
      <c r="C35" s="7">
        <v>3.41</v>
      </c>
      <c r="D35" s="99">
        <v>1</v>
      </c>
      <c r="E35" s="98">
        <f t="shared" si="0"/>
        <v>6</v>
      </c>
      <c r="F35" s="384"/>
    </row>
    <row r="36" spans="1:6" ht="12.75" customHeight="1">
      <c r="A36" s="9" t="s">
        <v>291</v>
      </c>
      <c r="B36" s="7">
        <v>1.56</v>
      </c>
      <c r="C36" s="7">
        <v>2.0499999999999998</v>
      </c>
      <c r="D36" s="99">
        <v>1</v>
      </c>
      <c r="E36" s="98">
        <f t="shared" si="0"/>
        <v>3.61</v>
      </c>
      <c r="F36" s="384"/>
    </row>
    <row r="37" spans="1:6" ht="12.75" customHeight="1">
      <c r="A37" s="9" t="s">
        <v>292</v>
      </c>
      <c r="B37" s="7">
        <v>1.17</v>
      </c>
      <c r="C37" s="7">
        <v>1.53</v>
      </c>
      <c r="D37" s="99">
        <v>1</v>
      </c>
      <c r="E37" s="98">
        <f t="shared" ref="E37:E68" si="1">SUM(B37,C37)*D37</f>
        <v>2.7</v>
      </c>
      <c r="F37" s="384"/>
    </row>
    <row r="38" spans="1:6" ht="12.75" customHeight="1">
      <c r="A38" s="9" t="s">
        <v>293</v>
      </c>
      <c r="B38" s="7">
        <v>2.79</v>
      </c>
      <c r="C38" s="7">
        <v>3.67</v>
      </c>
      <c r="D38" s="99">
        <v>1</v>
      </c>
      <c r="E38" s="98">
        <f t="shared" si="1"/>
        <v>6.46</v>
      </c>
      <c r="F38" s="384"/>
    </row>
    <row r="39" spans="1:6" ht="12.75" customHeight="1">
      <c r="A39" s="9" t="s">
        <v>294</v>
      </c>
      <c r="B39" s="7">
        <v>0.71</v>
      </c>
      <c r="C39" s="7">
        <v>0.94</v>
      </c>
      <c r="D39" s="99">
        <v>1</v>
      </c>
      <c r="E39" s="98">
        <f t="shared" si="1"/>
        <v>1.65</v>
      </c>
      <c r="F39" s="384"/>
    </row>
    <row r="40" spans="1:6" ht="12.75" customHeight="1">
      <c r="A40" s="9" t="s">
        <v>295</v>
      </c>
      <c r="B40" s="7">
        <v>3.28</v>
      </c>
      <c r="C40" s="7">
        <v>4.26</v>
      </c>
      <c r="D40" s="99">
        <v>1</v>
      </c>
      <c r="E40" s="98">
        <f t="shared" si="1"/>
        <v>7.5399999999999991</v>
      </c>
      <c r="F40" s="384"/>
    </row>
    <row r="41" spans="1:6" ht="12.75" customHeight="1">
      <c r="A41" s="9" t="s">
        <v>296</v>
      </c>
      <c r="B41" s="7">
        <v>1.31</v>
      </c>
      <c r="C41" s="7">
        <v>1.71</v>
      </c>
      <c r="D41" s="99">
        <v>1</v>
      </c>
      <c r="E41" s="98">
        <f t="shared" si="1"/>
        <v>3.02</v>
      </c>
      <c r="F41" s="384"/>
    </row>
    <row r="42" spans="1:6" ht="12.75" customHeight="1">
      <c r="A42" s="9" t="s">
        <v>297</v>
      </c>
      <c r="B42" s="7">
        <v>20.89</v>
      </c>
      <c r="C42" s="7">
        <v>6.46</v>
      </c>
      <c r="D42" s="99">
        <v>1</v>
      </c>
      <c r="E42" s="98">
        <f t="shared" si="1"/>
        <v>27.35</v>
      </c>
      <c r="F42" s="384"/>
    </row>
    <row r="43" spans="1:6" ht="12.75" customHeight="1">
      <c r="A43" s="9" t="s">
        <v>298</v>
      </c>
      <c r="B43" s="7">
        <v>10.81</v>
      </c>
      <c r="C43" s="7">
        <v>7.12</v>
      </c>
      <c r="D43" s="99">
        <v>1</v>
      </c>
      <c r="E43" s="98">
        <f t="shared" si="1"/>
        <v>17.93</v>
      </c>
      <c r="F43" s="384"/>
    </row>
    <row r="44" spans="1:6" ht="12.75" customHeight="1">
      <c r="A44" s="9" t="s">
        <v>299</v>
      </c>
      <c r="B44" s="7">
        <v>10.81</v>
      </c>
      <c r="C44" s="7">
        <v>7.12</v>
      </c>
      <c r="D44" s="99">
        <v>1</v>
      </c>
      <c r="E44" s="98">
        <f t="shared" si="1"/>
        <v>17.93</v>
      </c>
      <c r="F44" s="384"/>
    </row>
    <row r="45" spans="1:6" ht="12.75" customHeight="1">
      <c r="A45" s="9" t="s">
        <v>300</v>
      </c>
      <c r="B45" s="7">
        <v>4.54</v>
      </c>
      <c r="C45" s="7">
        <v>9.5500000000000007</v>
      </c>
      <c r="D45" s="99">
        <v>1</v>
      </c>
      <c r="E45" s="98">
        <f t="shared" si="1"/>
        <v>14.09</v>
      </c>
      <c r="F45" s="384"/>
    </row>
    <row r="46" spans="1:6" ht="12.75" customHeight="1">
      <c r="A46" s="9" t="s">
        <v>301</v>
      </c>
      <c r="B46" s="7">
        <v>1.0900000000000001</v>
      </c>
      <c r="C46" s="7">
        <v>2.5099999999999998</v>
      </c>
      <c r="D46" s="99">
        <v>1</v>
      </c>
      <c r="E46" s="98">
        <f t="shared" si="1"/>
        <v>3.5999999999999996</v>
      </c>
      <c r="F46" s="384"/>
    </row>
    <row r="47" spans="1:6" ht="12.75" customHeight="1">
      <c r="A47" s="9" t="s">
        <v>93</v>
      </c>
      <c r="B47" s="7">
        <v>0.33</v>
      </c>
      <c r="C47" s="7">
        <v>1.36</v>
      </c>
      <c r="D47" s="99">
        <v>1</v>
      </c>
      <c r="E47" s="98">
        <f t="shared" si="1"/>
        <v>1.6900000000000002</v>
      </c>
      <c r="F47" s="384"/>
    </row>
    <row r="48" spans="1:6" ht="12.75" customHeight="1">
      <c r="A48" s="9" t="s">
        <v>302</v>
      </c>
      <c r="B48" s="7">
        <v>2.12</v>
      </c>
      <c r="C48" s="7">
        <v>16.28</v>
      </c>
      <c r="D48" s="99">
        <v>1</v>
      </c>
      <c r="E48" s="98">
        <f t="shared" si="1"/>
        <v>18.400000000000002</v>
      </c>
      <c r="F48" s="384"/>
    </row>
    <row r="49" spans="1:6" ht="12.75" customHeight="1">
      <c r="A49" s="9" t="s">
        <v>303</v>
      </c>
      <c r="B49" s="7">
        <v>2.4</v>
      </c>
      <c r="C49" s="7">
        <v>3.29</v>
      </c>
      <c r="D49" s="99">
        <v>1</v>
      </c>
      <c r="E49" s="98">
        <f t="shared" si="1"/>
        <v>5.6899999999999995</v>
      </c>
      <c r="F49" s="384"/>
    </row>
    <row r="50" spans="1:6" ht="12.75" customHeight="1">
      <c r="A50" s="9" t="s">
        <v>304</v>
      </c>
      <c r="B50" s="7">
        <v>5.99</v>
      </c>
      <c r="C50" s="7">
        <v>8.2200000000000006</v>
      </c>
      <c r="D50" s="99">
        <v>1</v>
      </c>
      <c r="E50" s="98">
        <f t="shared" si="1"/>
        <v>14.21</v>
      </c>
      <c r="F50" s="384"/>
    </row>
    <row r="51" spans="1:6" ht="12.75" customHeight="1">
      <c r="A51" s="9" t="s">
        <v>305</v>
      </c>
      <c r="B51" s="7">
        <v>1.6</v>
      </c>
      <c r="C51" s="7">
        <v>3.98</v>
      </c>
      <c r="D51" s="99">
        <v>1</v>
      </c>
      <c r="E51" s="98">
        <f t="shared" si="1"/>
        <v>5.58</v>
      </c>
      <c r="F51" s="384"/>
    </row>
    <row r="52" spans="1:6" ht="12.75" customHeight="1">
      <c r="A52" s="9" t="s">
        <v>306</v>
      </c>
      <c r="B52" s="7">
        <v>0.81</v>
      </c>
      <c r="C52" s="7">
        <v>3.8</v>
      </c>
      <c r="D52" s="99">
        <v>1</v>
      </c>
      <c r="E52" s="98">
        <f t="shared" si="1"/>
        <v>4.6099999999999994</v>
      </c>
      <c r="F52" s="384"/>
    </row>
    <row r="53" spans="1:6" ht="12.75" customHeight="1">
      <c r="A53" s="9" t="s">
        <v>307</v>
      </c>
      <c r="B53" s="7">
        <v>1.28</v>
      </c>
      <c r="C53" s="7">
        <v>2.4500000000000002</v>
      </c>
      <c r="D53" s="99">
        <v>1</v>
      </c>
      <c r="E53" s="98">
        <f t="shared" si="1"/>
        <v>3.7300000000000004</v>
      </c>
      <c r="F53" s="384"/>
    </row>
    <row r="54" spans="1:6" ht="12.75" customHeight="1">
      <c r="A54" s="9" t="s">
        <v>308</v>
      </c>
      <c r="B54" s="7">
        <v>0.4</v>
      </c>
      <c r="C54" s="7">
        <v>0.68</v>
      </c>
      <c r="D54" s="99">
        <v>1</v>
      </c>
      <c r="E54" s="98">
        <f t="shared" si="1"/>
        <v>1.08</v>
      </c>
      <c r="F54" s="384"/>
    </row>
    <row r="55" spans="1:6" ht="12.75" customHeight="1">
      <c r="A55" s="9" t="s">
        <v>309</v>
      </c>
      <c r="B55" s="7">
        <v>2.0099999999999998</v>
      </c>
      <c r="C55" s="7">
        <v>2.02</v>
      </c>
      <c r="D55" s="99">
        <v>1</v>
      </c>
      <c r="E55" s="98">
        <f t="shared" si="1"/>
        <v>4.0299999999999994</v>
      </c>
      <c r="F55" s="384"/>
    </row>
    <row r="56" spans="1:6" ht="12.75" customHeight="1">
      <c r="A56" s="9" t="s">
        <v>310</v>
      </c>
      <c r="B56" s="7">
        <v>4.53</v>
      </c>
      <c r="C56" s="7">
        <v>4.54</v>
      </c>
      <c r="D56" s="99">
        <v>1</v>
      </c>
      <c r="E56" s="98">
        <f t="shared" si="1"/>
        <v>9.07</v>
      </c>
      <c r="F56" s="384"/>
    </row>
    <row r="57" spans="1:6" ht="12.75" customHeight="1">
      <c r="A57" s="9" t="s">
        <v>311</v>
      </c>
      <c r="B57" s="7">
        <v>4.75</v>
      </c>
      <c r="C57" s="7">
        <v>0.25</v>
      </c>
      <c r="D57" s="99">
        <v>1</v>
      </c>
      <c r="E57" s="98">
        <f t="shared" si="1"/>
        <v>5</v>
      </c>
      <c r="F57" s="384"/>
    </row>
    <row r="58" spans="1:6" ht="12.75" customHeight="1">
      <c r="A58" s="9" t="s">
        <v>312</v>
      </c>
      <c r="B58" s="7">
        <v>9.51</v>
      </c>
      <c r="C58" s="7">
        <v>0.49</v>
      </c>
      <c r="D58" s="99">
        <v>1</v>
      </c>
      <c r="E58" s="98">
        <f t="shared" si="1"/>
        <v>10</v>
      </c>
      <c r="F58" s="384"/>
    </row>
    <row r="59" spans="1:6" ht="12.75" customHeight="1">
      <c r="A59" s="9" t="s">
        <v>313</v>
      </c>
      <c r="B59" s="7">
        <v>14.26</v>
      </c>
      <c r="C59" s="7">
        <v>0.74</v>
      </c>
      <c r="D59" s="99">
        <v>1</v>
      </c>
      <c r="E59" s="98">
        <f t="shared" si="1"/>
        <v>15</v>
      </c>
      <c r="F59" s="384"/>
    </row>
    <row r="60" spans="1:6" ht="12.75" customHeight="1">
      <c r="A60" s="9" t="s">
        <v>314</v>
      </c>
      <c r="B60" s="7">
        <v>17.829999999999998</v>
      </c>
      <c r="C60" s="7">
        <v>0.92</v>
      </c>
      <c r="D60" s="99">
        <v>1</v>
      </c>
      <c r="E60" s="98">
        <f t="shared" si="1"/>
        <v>18.75</v>
      </c>
      <c r="F60" s="384"/>
    </row>
    <row r="61" spans="1:6" ht="12.75" customHeight="1">
      <c r="A61" s="9" t="s">
        <v>315</v>
      </c>
      <c r="B61" s="7">
        <v>23.77</v>
      </c>
      <c r="C61" s="7">
        <v>1.23</v>
      </c>
      <c r="D61" s="99">
        <v>1</v>
      </c>
      <c r="E61" s="98">
        <f t="shared" si="1"/>
        <v>25</v>
      </c>
      <c r="F61" s="384"/>
    </row>
    <row r="62" spans="1:6" ht="12.75" customHeight="1">
      <c r="A62" s="9" t="s">
        <v>316</v>
      </c>
      <c r="B62" s="7">
        <v>27.4</v>
      </c>
      <c r="C62" s="7">
        <v>1.5</v>
      </c>
      <c r="D62" s="99">
        <v>1</v>
      </c>
      <c r="E62" s="98">
        <f t="shared" si="1"/>
        <v>28.9</v>
      </c>
      <c r="F62" s="384"/>
    </row>
    <row r="63" spans="1:6" ht="12.75" customHeight="1">
      <c r="A63" s="9" t="s">
        <v>317</v>
      </c>
      <c r="B63" s="7">
        <v>27.95</v>
      </c>
      <c r="C63" s="7">
        <v>1.6</v>
      </c>
      <c r="D63" s="99">
        <v>1</v>
      </c>
      <c r="E63" s="98">
        <f t="shared" si="1"/>
        <v>29.55</v>
      </c>
      <c r="F63" s="384"/>
    </row>
    <row r="64" spans="1:6" ht="12.75" customHeight="1">
      <c r="A64" s="9" t="s">
        <v>318</v>
      </c>
      <c r="B64" s="7">
        <v>29.79</v>
      </c>
      <c r="C64" s="7">
        <v>1.63</v>
      </c>
      <c r="D64" s="99">
        <v>1</v>
      </c>
      <c r="E64" s="98">
        <f t="shared" si="1"/>
        <v>31.419999999999998</v>
      </c>
      <c r="F64" s="384"/>
    </row>
    <row r="65" spans="1:6" ht="12.75" customHeight="1">
      <c r="A65" s="9" t="s">
        <v>319</v>
      </c>
      <c r="B65" s="7">
        <v>35.659999999999997</v>
      </c>
      <c r="C65" s="7">
        <v>1.85</v>
      </c>
      <c r="D65" s="99">
        <v>1</v>
      </c>
      <c r="E65" s="98">
        <f t="shared" si="1"/>
        <v>37.51</v>
      </c>
      <c r="F65" s="384"/>
    </row>
    <row r="66" spans="1:6" ht="12.75" customHeight="1">
      <c r="A66" s="9" t="s">
        <v>320</v>
      </c>
      <c r="B66" s="7">
        <v>41.6</v>
      </c>
      <c r="C66" s="7">
        <v>2.16</v>
      </c>
      <c r="D66" s="99">
        <v>1</v>
      </c>
      <c r="E66" s="98">
        <f t="shared" si="1"/>
        <v>43.760000000000005</v>
      </c>
      <c r="F66" s="384"/>
    </row>
    <row r="67" spans="1:6" ht="12.75" customHeight="1">
      <c r="A67" s="9" t="s">
        <v>321</v>
      </c>
      <c r="B67" s="7">
        <v>47.55</v>
      </c>
      <c r="C67" s="7">
        <v>2.46</v>
      </c>
      <c r="D67" s="99">
        <v>1</v>
      </c>
      <c r="E67" s="98">
        <f t="shared" si="1"/>
        <v>50.01</v>
      </c>
      <c r="F67" s="384"/>
    </row>
    <row r="68" spans="1:6" ht="12.75" customHeight="1">
      <c r="A68" s="9" t="s">
        <v>322</v>
      </c>
      <c r="B68" s="7">
        <v>1.27</v>
      </c>
      <c r="C68" s="7">
        <v>0.14000000000000001</v>
      </c>
      <c r="D68" s="99">
        <v>1</v>
      </c>
      <c r="E68" s="98">
        <f t="shared" si="1"/>
        <v>1.4100000000000001</v>
      </c>
      <c r="F68" s="384"/>
    </row>
    <row r="69" spans="1:6" ht="12.75" customHeight="1">
      <c r="A69" s="9" t="s">
        <v>323</v>
      </c>
      <c r="B69" s="7">
        <v>3.18</v>
      </c>
      <c r="C69" s="7">
        <v>0.36</v>
      </c>
      <c r="D69" s="99">
        <v>1</v>
      </c>
      <c r="E69" s="98">
        <f t="shared" ref="E69:E100" si="2">SUM(B69,C69)*D69</f>
        <v>3.54</v>
      </c>
      <c r="F69" s="384"/>
    </row>
    <row r="70" spans="1:6" ht="12.75" customHeight="1">
      <c r="A70" s="9" t="s">
        <v>324</v>
      </c>
      <c r="B70" s="7">
        <v>3.81</v>
      </c>
      <c r="C70" s="7">
        <v>0.43</v>
      </c>
      <c r="D70" s="99">
        <v>1</v>
      </c>
      <c r="E70" s="98">
        <f t="shared" si="2"/>
        <v>4.24</v>
      </c>
      <c r="F70" s="384"/>
    </row>
    <row r="71" spans="1:6" ht="12.75" customHeight="1">
      <c r="A71" s="9" t="s">
        <v>325</v>
      </c>
      <c r="B71" s="7">
        <v>1.21</v>
      </c>
      <c r="C71" s="7">
        <v>1.22</v>
      </c>
      <c r="D71" s="99">
        <v>1</v>
      </c>
      <c r="E71" s="98">
        <f t="shared" si="2"/>
        <v>2.4299999999999997</v>
      </c>
      <c r="F71" s="384"/>
    </row>
    <row r="72" spans="1:6" ht="12.75" customHeight="1">
      <c r="A72" s="9" t="s">
        <v>326</v>
      </c>
      <c r="B72" s="7">
        <v>0.47</v>
      </c>
      <c r="C72" s="7">
        <v>2.9</v>
      </c>
      <c r="D72" s="99">
        <v>1</v>
      </c>
      <c r="E72" s="98">
        <f t="shared" si="2"/>
        <v>3.37</v>
      </c>
      <c r="F72" s="384"/>
    </row>
    <row r="73" spans="1:6" ht="12.75" customHeight="1">
      <c r="A73" s="9" t="s">
        <v>327</v>
      </c>
      <c r="B73" s="7">
        <v>1.05</v>
      </c>
      <c r="C73" s="7">
        <v>6.48</v>
      </c>
      <c r="D73" s="99">
        <v>1</v>
      </c>
      <c r="E73" s="98">
        <f t="shared" si="2"/>
        <v>7.53</v>
      </c>
      <c r="F73" s="384"/>
    </row>
    <row r="74" spans="1:6" ht="12.75" customHeight="1">
      <c r="A74" s="9" t="s">
        <v>328</v>
      </c>
      <c r="B74" s="7">
        <v>1.77</v>
      </c>
      <c r="C74" s="7">
        <v>10.91</v>
      </c>
      <c r="D74" s="99">
        <v>1</v>
      </c>
      <c r="E74" s="98">
        <f t="shared" si="2"/>
        <v>12.68</v>
      </c>
      <c r="F74" s="384"/>
    </row>
    <row r="75" spans="1:6" ht="12.75" customHeight="1">
      <c r="A75" s="9" t="s">
        <v>329</v>
      </c>
      <c r="B75" s="7">
        <v>2.5299999999999998</v>
      </c>
      <c r="C75" s="7">
        <v>3.41</v>
      </c>
      <c r="D75" s="99">
        <v>1</v>
      </c>
      <c r="E75" s="98">
        <f t="shared" si="2"/>
        <v>5.9399999999999995</v>
      </c>
      <c r="F75" s="384"/>
    </row>
    <row r="76" spans="1:6" ht="12.75" customHeight="1">
      <c r="A76" s="9" t="s">
        <v>330</v>
      </c>
      <c r="B76" s="7">
        <v>2.78</v>
      </c>
      <c r="C76" s="7">
        <v>3.75</v>
      </c>
      <c r="D76" s="99">
        <v>1</v>
      </c>
      <c r="E76" s="98">
        <f t="shared" si="2"/>
        <v>6.5299999999999994</v>
      </c>
      <c r="F76" s="384"/>
    </row>
    <row r="77" spans="1:6" ht="12.75" customHeight="1">
      <c r="A77" s="9" t="s">
        <v>331</v>
      </c>
      <c r="B77" s="7">
        <v>47.37</v>
      </c>
      <c r="C77" s="7">
        <v>4.3</v>
      </c>
      <c r="D77" s="99">
        <v>1</v>
      </c>
      <c r="E77" s="98">
        <f t="shared" si="2"/>
        <v>51.669999999999995</v>
      </c>
      <c r="F77" s="384"/>
    </row>
    <row r="78" spans="1:6" ht="12.75" customHeight="1">
      <c r="A78" s="9" t="s">
        <v>332</v>
      </c>
      <c r="B78" s="7">
        <v>0.14000000000000001</v>
      </c>
      <c r="C78" s="7">
        <v>0.64</v>
      </c>
      <c r="D78" s="99">
        <v>1</v>
      </c>
      <c r="E78" s="98">
        <f t="shared" si="2"/>
        <v>0.78</v>
      </c>
      <c r="F78" s="384"/>
    </row>
    <row r="79" spans="1:6" ht="12.75" customHeight="1">
      <c r="A79" s="9" t="s">
        <v>333</v>
      </c>
      <c r="B79" s="7">
        <v>0.18</v>
      </c>
      <c r="C79" s="7">
        <v>0.85</v>
      </c>
      <c r="D79" s="99">
        <v>1</v>
      </c>
      <c r="E79" s="98">
        <f t="shared" si="2"/>
        <v>1.03</v>
      </c>
      <c r="F79" s="384"/>
    </row>
    <row r="80" spans="1:6" ht="12.75" customHeight="1">
      <c r="A80" s="9" t="s">
        <v>334</v>
      </c>
      <c r="B80" s="7">
        <v>4.34</v>
      </c>
      <c r="C80" s="7">
        <v>9.1199999999999992</v>
      </c>
      <c r="D80" s="99">
        <v>1</v>
      </c>
      <c r="E80" s="98">
        <f t="shared" si="2"/>
        <v>13.459999999999999</v>
      </c>
      <c r="F80" s="384"/>
    </row>
    <row r="81" spans="1:6" ht="12.75" customHeight="1">
      <c r="A81" s="9" t="s">
        <v>335</v>
      </c>
      <c r="B81" s="7">
        <v>5.3</v>
      </c>
      <c r="C81" s="7">
        <v>15.85</v>
      </c>
      <c r="D81" s="99">
        <v>1</v>
      </c>
      <c r="E81" s="98">
        <f t="shared" si="2"/>
        <v>21.15</v>
      </c>
      <c r="F81" s="384"/>
    </row>
    <row r="82" spans="1:6" ht="12.75" customHeight="1">
      <c r="A82" s="9" t="s">
        <v>336</v>
      </c>
      <c r="B82" s="7">
        <v>5.15</v>
      </c>
      <c r="C82" s="7">
        <v>8.82</v>
      </c>
      <c r="D82" s="99">
        <v>1</v>
      </c>
      <c r="E82" s="98">
        <f t="shared" si="2"/>
        <v>13.97</v>
      </c>
      <c r="F82" s="384"/>
    </row>
    <row r="83" spans="1:6" ht="12.75" customHeight="1">
      <c r="A83" s="9" t="s">
        <v>337</v>
      </c>
      <c r="B83" s="7">
        <v>17.309999999999999</v>
      </c>
      <c r="C83" s="7">
        <v>9.5500000000000007</v>
      </c>
      <c r="D83" s="99">
        <v>1</v>
      </c>
      <c r="E83" s="98">
        <f t="shared" si="2"/>
        <v>26.86</v>
      </c>
      <c r="F83" s="384"/>
    </row>
    <row r="84" spans="1:6" ht="12.75" customHeight="1">
      <c r="A84" s="9" t="s">
        <v>338</v>
      </c>
      <c r="B84" s="7">
        <v>47.91</v>
      </c>
      <c r="C84" s="7">
        <v>25.69</v>
      </c>
      <c r="D84" s="99">
        <v>1</v>
      </c>
      <c r="E84" s="98">
        <f t="shared" si="2"/>
        <v>73.599999999999994</v>
      </c>
      <c r="F84" s="384"/>
    </row>
    <row r="85" spans="1:6" ht="12.75" customHeight="1">
      <c r="A85" s="9" t="s">
        <v>339</v>
      </c>
      <c r="B85" s="7">
        <v>24.73</v>
      </c>
      <c r="C85" s="7">
        <v>13.64</v>
      </c>
      <c r="D85" s="99">
        <v>1</v>
      </c>
      <c r="E85" s="98">
        <f t="shared" si="2"/>
        <v>38.370000000000005</v>
      </c>
      <c r="F85" s="384"/>
    </row>
    <row r="86" spans="1:6" ht="12.75" customHeight="1">
      <c r="A86" s="9" t="s">
        <v>340</v>
      </c>
      <c r="B86" s="7">
        <v>3.46</v>
      </c>
      <c r="C86" s="7">
        <v>1.91</v>
      </c>
      <c r="D86" s="99">
        <v>1</v>
      </c>
      <c r="E86" s="98">
        <f t="shared" si="2"/>
        <v>5.37</v>
      </c>
      <c r="F86" s="384"/>
    </row>
    <row r="87" spans="1:6" ht="12.75" customHeight="1">
      <c r="A87" s="9" t="s">
        <v>341</v>
      </c>
      <c r="B87" s="7">
        <v>3.71</v>
      </c>
      <c r="C87" s="7">
        <v>2.0499999999999998</v>
      </c>
      <c r="D87" s="99">
        <v>1</v>
      </c>
      <c r="E87" s="98">
        <f t="shared" si="2"/>
        <v>5.76</v>
      </c>
      <c r="F87" s="384"/>
    </row>
    <row r="88" spans="1:6" ht="12.75" customHeight="1">
      <c r="A88" s="9" t="s">
        <v>342</v>
      </c>
      <c r="B88" s="7">
        <v>1.85</v>
      </c>
      <c r="C88" s="7">
        <v>1.02</v>
      </c>
      <c r="D88" s="99">
        <v>1</v>
      </c>
      <c r="E88" s="98">
        <f t="shared" si="2"/>
        <v>2.87</v>
      </c>
      <c r="F88" s="384"/>
    </row>
    <row r="89" spans="1:6" ht="12.75" customHeight="1">
      <c r="A89" s="9" t="s">
        <v>343</v>
      </c>
      <c r="B89" s="7">
        <v>22.26</v>
      </c>
      <c r="C89" s="7">
        <v>12.28</v>
      </c>
      <c r="D89" s="99">
        <v>1</v>
      </c>
      <c r="E89" s="98">
        <f t="shared" si="2"/>
        <v>34.54</v>
      </c>
      <c r="F89" s="384"/>
    </row>
    <row r="90" spans="1:6" ht="12.75" customHeight="1">
      <c r="A90" s="9" t="s">
        <v>344</v>
      </c>
      <c r="B90" s="7">
        <v>8.27</v>
      </c>
      <c r="C90" s="7">
        <v>21.31</v>
      </c>
      <c r="D90" s="99">
        <v>1</v>
      </c>
      <c r="E90" s="98">
        <f t="shared" si="2"/>
        <v>29.58</v>
      </c>
      <c r="F90" s="384"/>
    </row>
    <row r="91" spans="1:6" ht="12.75" customHeight="1">
      <c r="A91" s="9" t="s">
        <v>345</v>
      </c>
      <c r="B91" s="7">
        <v>9.89</v>
      </c>
      <c r="C91" s="7">
        <v>5.46</v>
      </c>
      <c r="D91" s="99">
        <v>1</v>
      </c>
      <c r="E91" s="98">
        <f t="shared" si="2"/>
        <v>15.350000000000001</v>
      </c>
      <c r="F91" s="384"/>
    </row>
    <row r="92" spans="1:6" ht="12.75" customHeight="1">
      <c r="A92" s="9" t="s">
        <v>346</v>
      </c>
      <c r="B92" s="7">
        <v>9.89</v>
      </c>
      <c r="C92" s="7">
        <v>5.46</v>
      </c>
      <c r="D92" s="99">
        <v>1</v>
      </c>
      <c r="E92" s="98">
        <f t="shared" si="2"/>
        <v>15.350000000000001</v>
      </c>
      <c r="F92" s="384"/>
    </row>
    <row r="93" spans="1:6" ht="12.75" customHeight="1">
      <c r="A93" s="9" t="s">
        <v>347</v>
      </c>
      <c r="B93" s="7">
        <v>3.71</v>
      </c>
      <c r="C93" s="7">
        <v>2.1</v>
      </c>
      <c r="D93" s="99">
        <v>1</v>
      </c>
      <c r="E93" s="98">
        <f t="shared" si="2"/>
        <v>5.8100000000000005</v>
      </c>
      <c r="F93" s="384"/>
    </row>
    <row r="94" spans="1:6" ht="12.75" customHeight="1">
      <c r="A94" s="9" t="s">
        <v>348</v>
      </c>
      <c r="B94" s="7">
        <v>1.47</v>
      </c>
      <c r="C94" s="7">
        <v>4.4800000000000004</v>
      </c>
      <c r="D94" s="99">
        <v>1</v>
      </c>
      <c r="E94" s="98">
        <f t="shared" si="2"/>
        <v>5.95</v>
      </c>
      <c r="F94" s="384"/>
    </row>
    <row r="95" spans="1:6" ht="12.75" customHeight="1">
      <c r="A95" s="9" t="s">
        <v>349</v>
      </c>
      <c r="B95" s="7">
        <v>3.91</v>
      </c>
      <c r="C95" s="7">
        <v>11.94</v>
      </c>
      <c r="D95" s="99">
        <v>1</v>
      </c>
      <c r="E95" s="98">
        <f t="shared" si="2"/>
        <v>15.85</v>
      </c>
      <c r="F95" s="384"/>
    </row>
    <row r="96" spans="1:6" ht="12.75" customHeight="1">
      <c r="A96" s="9" t="s">
        <v>350</v>
      </c>
      <c r="B96" s="7">
        <v>3.04</v>
      </c>
      <c r="C96" s="7">
        <v>4.26</v>
      </c>
      <c r="D96" s="99">
        <v>1</v>
      </c>
      <c r="E96" s="98">
        <f t="shared" si="2"/>
        <v>7.3</v>
      </c>
      <c r="F96" s="384"/>
    </row>
    <row r="97" spans="1:6" ht="12.75" customHeight="1">
      <c r="A97" s="9" t="s">
        <v>351</v>
      </c>
      <c r="B97" s="7">
        <v>2.84</v>
      </c>
      <c r="C97" s="7">
        <v>5.8</v>
      </c>
      <c r="D97" s="99">
        <v>1</v>
      </c>
      <c r="E97" s="98">
        <f t="shared" si="2"/>
        <v>8.64</v>
      </c>
      <c r="F97" s="384"/>
    </row>
    <row r="98" spans="1:6" ht="12.75" customHeight="1">
      <c r="A98" s="9" t="s">
        <v>352</v>
      </c>
      <c r="B98" s="7">
        <v>1.86</v>
      </c>
      <c r="C98" s="7">
        <v>4.26</v>
      </c>
      <c r="D98" s="99">
        <v>1</v>
      </c>
      <c r="E98" s="98">
        <f t="shared" si="2"/>
        <v>6.12</v>
      </c>
      <c r="F98" s="384"/>
    </row>
    <row r="99" spans="1:6" ht="12.75" customHeight="1">
      <c r="A99" s="9" t="s">
        <v>353</v>
      </c>
      <c r="B99" s="7">
        <v>0.56000000000000005</v>
      </c>
      <c r="C99" s="7">
        <v>1.28</v>
      </c>
      <c r="D99" s="99">
        <v>1</v>
      </c>
      <c r="E99" s="98">
        <f t="shared" si="2"/>
        <v>1.84</v>
      </c>
      <c r="F99" s="384"/>
    </row>
    <row r="100" spans="1:6" ht="12.75" customHeight="1">
      <c r="A100" s="9" t="s">
        <v>354</v>
      </c>
      <c r="B100" s="7">
        <v>1.0900000000000001</v>
      </c>
      <c r="C100" s="7">
        <v>2.2200000000000002</v>
      </c>
      <c r="D100" s="99">
        <v>1</v>
      </c>
      <c r="E100" s="98">
        <f t="shared" si="2"/>
        <v>3.3100000000000005</v>
      </c>
      <c r="F100" s="384"/>
    </row>
    <row r="101" spans="1:6" ht="12.75" customHeight="1">
      <c r="A101" s="9" t="s">
        <v>355</v>
      </c>
      <c r="B101" s="7">
        <v>0.44</v>
      </c>
      <c r="C101" s="7">
        <v>1.36</v>
      </c>
      <c r="D101" s="99">
        <v>1</v>
      </c>
      <c r="E101" s="98">
        <f t="shared" ref="E101:E132" si="3">SUM(B101,C101)*D101</f>
        <v>1.8</v>
      </c>
      <c r="F101" s="384"/>
    </row>
    <row r="102" spans="1:6" ht="12.75" customHeight="1">
      <c r="A102" s="9" t="s">
        <v>356</v>
      </c>
      <c r="B102" s="7">
        <v>1.47</v>
      </c>
      <c r="C102" s="7">
        <v>2.02</v>
      </c>
      <c r="D102" s="99">
        <v>1</v>
      </c>
      <c r="E102" s="98">
        <f t="shared" si="3"/>
        <v>3.49</v>
      </c>
      <c r="F102" s="384"/>
    </row>
    <row r="103" spans="1:6" ht="12.75" customHeight="1">
      <c r="A103" s="9" t="s">
        <v>357</v>
      </c>
      <c r="B103" s="7">
        <v>2.94</v>
      </c>
      <c r="C103" s="7">
        <v>4.03</v>
      </c>
      <c r="D103" s="99">
        <v>1</v>
      </c>
      <c r="E103" s="98">
        <f t="shared" si="3"/>
        <v>6.9700000000000006</v>
      </c>
      <c r="F103" s="384"/>
    </row>
    <row r="104" spans="1:6" ht="12.75" customHeight="1">
      <c r="A104" s="9" t="s">
        <v>358</v>
      </c>
      <c r="B104" s="7">
        <v>3.92</v>
      </c>
      <c r="C104" s="7">
        <v>5.38</v>
      </c>
      <c r="D104" s="99">
        <v>1</v>
      </c>
      <c r="E104" s="98">
        <f t="shared" si="3"/>
        <v>9.3000000000000007</v>
      </c>
      <c r="F104" s="384"/>
    </row>
    <row r="105" spans="1:6" ht="12.75" customHeight="1">
      <c r="A105" s="9" t="s">
        <v>92</v>
      </c>
      <c r="B105" s="7">
        <v>5.39</v>
      </c>
      <c r="C105" s="7">
        <v>7.4</v>
      </c>
      <c r="D105" s="99">
        <v>1</v>
      </c>
      <c r="E105" s="98">
        <f t="shared" si="3"/>
        <v>12.79</v>
      </c>
      <c r="F105" s="384"/>
    </row>
    <row r="106" spans="1:6" ht="15" customHeight="1">
      <c r="A106" s="9" t="s">
        <v>359</v>
      </c>
      <c r="B106" s="7">
        <v>6.53</v>
      </c>
      <c r="C106" s="7">
        <v>1.36</v>
      </c>
      <c r="D106" s="99">
        <v>1</v>
      </c>
      <c r="E106" s="98">
        <f t="shared" si="3"/>
        <v>7.8900000000000006</v>
      </c>
      <c r="F106" s="384"/>
    </row>
    <row r="107" spans="1:6" ht="15" customHeight="1">
      <c r="A107" s="9" t="s">
        <v>360</v>
      </c>
      <c r="B107" s="7">
        <v>8.84</v>
      </c>
      <c r="C107" s="7">
        <v>1.78</v>
      </c>
      <c r="D107" s="99">
        <v>1</v>
      </c>
      <c r="E107" s="98">
        <f t="shared" si="3"/>
        <v>10.62</v>
      </c>
      <c r="F107" s="384"/>
    </row>
    <row r="108" spans="1:6" ht="15" customHeight="1">
      <c r="A108" s="9" t="s">
        <v>361</v>
      </c>
      <c r="B108" s="7">
        <v>9.0500000000000007</v>
      </c>
      <c r="C108" s="7">
        <v>1.76</v>
      </c>
      <c r="D108" s="99">
        <v>1</v>
      </c>
      <c r="E108" s="98">
        <f t="shared" si="3"/>
        <v>10.81</v>
      </c>
      <c r="F108" s="384"/>
    </row>
    <row r="109" spans="1:6" ht="15" customHeight="1">
      <c r="A109" s="9" t="s">
        <v>362</v>
      </c>
      <c r="B109" s="7">
        <v>10.68</v>
      </c>
      <c r="C109" s="7">
        <v>2.5499999999999998</v>
      </c>
      <c r="D109" s="99">
        <v>1</v>
      </c>
      <c r="E109" s="98">
        <f t="shared" si="3"/>
        <v>13.23</v>
      </c>
      <c r="F109" s="384"/>
    </row>
    <row r="110" spans="1:6" ht="15" customHeight="1">
      <c r="A110" s="9" t="s">
        <v>363</v>
      </c>
      <c r="B110" s="7">
        <v>14.25</v>
      </c>
      <c r="C110" s="7">
        <v>2.8</v>
      </c>
      <c r="D110" s="99">
        <v>1</v>
      </c>
      <c r="E110" s="98">
        <f t="shared" si="3"/>
        <v>17.05</v>
      </c>
      <c r="F110" s="384"/>
    </row>
    <row r="111" spans="1:6" ht="15" customHeight="1">
      <c r="A111" s="9" t="s">
        <v>364</v>
      </c>
      <c r="B111" s="7">
        <v>15.84</v>
      </c>
      <c r="C111" s="7">
        <v>3.53</v>
      </c>
      <c r="D111" s="99">
        <v>1</v>
      </c>
      <c r="E111" s="98">
        <f t="shared" si="3"/>
        <v>19.37</v>
      </c>
      <c r="F111" s="384"/>
    </row>
    <row r="112" spans="1:6" ht="15" customHeight="1">
      <c r="A112" s="9" t="s">
        <v>365</v>
      </c>
      <c r="B112" s="7">
        <v>18.309999999999999</v>
      </c>
      <c r="C112" s="7">
        <v>3.84</v>
      </c>
      <c r="D112" s="99">
        <v>1</v>
      </c>
      <c r="E112" s="98">
        <f t="shared" si="3"/>
        <v>22.15</v>
      </c>
      <c r="F112" s="384"/>
    </row>
    <row r="113" spans="1:10" ht="15" customHeight="1">
      <c r="A113" s="9" t="s">
        <v>366</v>
      </c>
      <c r="B113" s="7">
        <v>19.5</v>
      </c>
      <c r="C113" s="7">
        <v>3.93</v>
      </c>
      <c r="D113" s="99">
        <v>1</v>
      </c>
      <c r="E113" s="98">
        <f t="shared" si="3"/>
        <v>23.43</v>
      </c>
      <c r="F113" s="384"/>
    </row>
    <row r="114" spans="1:10" ht="15" customHeight="1">
      <c r="A114" s="9" t="s">
        <v>367</v>
      </c>
      <c r="B114" s="7">
        <v>20.82</v>
      </c>
      <c r="C114" s="7">
        <v>4.21</v>
      </c>
      <c r="D114" s="99">
        <v>1</v>
      </c>
      <c r="E114" s="98">
        <f t="shared" si="3"/>
        <v>25.03</v>
      </c>
      <c r="F114" s="384"/>
    </row>
    <row r="115" spans="1:10" ht="15" customHeight="1">
      <c r="A115" s="9" t="s">
        <v>368</v>
      </c>
      <c r="B115" s="7">
        <v>22.09</v>
      </c>
      <c r="C115" s="7">
        <v>4.4400000000000004</v>
      </c>
      <c r="D115" s="99">
        <v>1</v>
      </c>
      <c r="E115" s="98">
        <f t="shared" si="3"/>
        <v>26.53</v>
      </c>
      <c r="F115" s="384"/>
    </row>
    <row r="116" spans="1:10" ht="15" customHeight="1">
      <c r="A116" s="9" t="s">
        <v>369</v>
      </c>
      <c r="B116" s="7">
        <v>24.84</v>
      </c>
      <c r="C116" s="7">
        <v>5.2</v>
      </c>
      <c r="D116" s="99">
        <v>1</v>
      </c>
      <c r="E116" s="98">
        <f t="shared" si="3"/>
        <v>30.04</v>
      </c>
      <c r="F116" s="384"/>
      <c r="G116" s="421"/>
      <c r="H116" s="421"/>
      <c r="I116" s="421"/>
      <c r="J116" s="421"/>
    </row>
    <row r="117" spans="1:10" ht="15" customHeight="1">
      <c r="A117" s="9" t="s">
        <v>94</v>
      </c>
      <c r="B117" s="7">
        <v>26.3</v>
      </c>
      <c r="C117" s="7">
        <v>5.73</v>
      </c>
      <c r="D117" s="99">
        <v>1</v>
      </c>
      <c r="E117" s="98">
        <f t="shared" si="3"/>
        <v>32.03</v>
      </c>
      <c r="F117" s="384"/>
    </row>
    <row r="118" spans="1:10" ht="15" customHeight="1">
      <c r="A118" s="9" t="s">
        <v>370</v>
      </c>
      <c r="B118" s="7">
        <v>28.65</v>
      </c>
      <c r="C118" s="7">
        <v>5.83</v>
      </c>
      <c r="D118" s="99">
        <v>1</v>
      </c>
      <c r="E118" s="98">
        <f t="shared" si="3"/>
        <v>34.479999999999997</v>
      </c>
      <c r="F118" s="384"/>
    </row>
    <row r="119" spans="1:10" ht="15" customHeight="1">
      <c r="A119" s="9" t="s">
        <v>371</v>
      </c>
      <c r="B119" s="7">
        <v>32.479999999999997</v>
      </c>
      <c r="C119" s="7">
        <v>6.5</v>
      </c>
      <c r="D119" s="99">
        <v>1</v>
      </c>
      <c r="E119" s="98">
        <f t="shared" si="3"/>
        <v>38.979999999999997</v>
      </c>
      <c r="F119" s="384"/>
    </row>
    <row r="120" spans="1:10" ht="15" customHeight="1">
      <c r="A120" s="9" t="s">
        <v>372</v>
      </c>
      <c r="B120" s="7">
        <v>33.72</v>
      </c>
      <c r="C120" s="7">
        <v>6.68</v>
      </c>
      <c r="D120" s="99">
        <v>1</v>
      </c>
      <c r="E120" s="98">
        <f t="shared" si="3"/>
        <v>40.4</v>
      </c>
      <c r="F120" s="384"/>
    </row>
    <row r="121" spans="1:10" ht="15" customHeight="1">
      <c r="A121" s="9" t="s">
        <v>373</v>
      </c>
      <c r="B121" s="7">
        <v>36.229999999999997</v>
      </c>
      <c r="C121" s="7">
        <v>7.05</v>
      </c>
      <c r="D121" s="99">
        <v>1</v>
      </c>
      <c r="E121" s="98">
        <f t="shared" si="3"/>
        <v>43.279999999999994</v>
      </c>
      <c r="F121" s="384"/>
      <c r="G121" s="421"/>
      <c r="H121" s="421"/>
      <c r="I121" s="421"/>
    </row>
    <row r="122" spans="1:10" ht="15" customHeight="1">
      <c r="A122" s="9" t="s">
        <v>374</v>
      </c>
      <c r="B122" s="7">
        <v>38.729999999999997</v>
      </c>
      <c r="C122" s="7">
        <v>7.41</v>
      </c>
      <c r="D122" s="99">
        <v>1</v>
      </c>
      <c r="E122" s="98">
        <f t="shared" si="3"/>
        <v>46.14</v>
      </c>
      <c r="F122" s="384"/>
    </row>
    <row r="123" spans="1:10" ht="15" customHeight="1">
      <c r="A123" s="9" t="s">
        <v>375</v>
      </c>
      <c r="B123" s="7">
        <v>41.61</v>
      </c>
      <c r="C123" s="7">
        <v>8.39</v>
      </c>
      <c r="D123" s="99">
        <v>1</v>
      </c>
      <c r="E123" s="98">
        <f t="shared" si="3"/>
        <v>50</v>
      </c>
      <c r="F123" s="384"/>
    </row>
    <row r="124" spans="1:10" ht="15" customHeight="1">
      <c r="A124" s="9" t="s">
        <v>376</v>
      </c>
      <c r="B124" s="7">
        <v>44.11</v>
      </c>
      <c r="C124" s="7">
        <v>8.75</v>
      </c>
      <c r="D124" s="99">
        <v>1</v>
      </c>
      <c r="E124" s="98">
        <f t="shared" si="3"/>
        <v>52.86</v>
      </c>
      <c r="F124" s="384"/>
      <c r="G124" s="421"/>
      <c r="H124" s="421"/>
      <c r="I124" s="421"/>
    </row>
    <row r="125" spans="1:10" ht="15" customHeight="1">
      <c r="A125" s="9" t="s">
        <v>101</v>
      </c>
      <c r="B125" s="7">
        <v>46.65</v>
      </c>
      <c r="C125" s="7">
        <v>9.17</v>
      </c>
      <c r="D125" s="99">
        <v>1</v>
      </c>
      <c r="E125" s="98">
        <f t="shared" si="3"/>
        <v>55.82</v>
      </c>
      <c r="F125" s="384"/>
    </row>
    <row r="126" spans="1:10" ht="12.75" customHeight="1">
      <c r="A126" s="9" t="s">
        <v>103</v>
      </c>
      <c r="B126" s="7">
        <v>54.72</v>
      </c>
      <c r="C126" s="7">
        <v>11.18</v>
      </c>
      <c r="D126" s="99">
        <v>1</v>
      </c>
      <c r="E126" s="98">
        <f t="shared" si="3"/>
        <v>65.900000000000006</v>
      </c>
      <c r="F126" s="384"/>
    </row>
    <row r="127" spans="1:10" ht="12.75" customHeight="1">
      <c r="A127" s="9" t="s">
        <v>377</v>
      </c>
      <c r="B127" s="7">
        <v>57.37</v>
      </c>
      <c r="C127" s="7">
        <v>23</v>
      </c>
      <c r="D127" s="99">
        <v>1</v>
      </c>
      <c r="E127" s="98">
        <f t="shared" si="3"/>
        <v>80.37</v>
      </c>
      <c r="F127" s="384"/>
    </row>
    <row r="128" spans="1:10" ht="12.75" customHeight="1">
      <c r="A128" s="9" t="s">
        <v>378</v>
      </c>
      <c r="B128" s="7">
        <v>8.24</v>
      </c>
      <c r="C128" s="7">
        <v>0.53</v>
      </c>
      <c r="D128" s="99">
        <v>1</v>
      </c>
      <c r="E128" s="98">
        <f t="shared" si="3"/>
        <v>8.77</v>
      </c>
      <c r="F128" s="384"/>
    </row>
    <row r="129" spans="1:6" ht="12.75" customHeight="1">
      <c r="A129" s="9" t="s">
        <v>379</v>
      </c>
      <c r="B129" s="7">
        <v>26.24</v>
      </c>
      <c r="C129" s="7">
        <v>11.17</v>
      </c>
      <c r="D129" s="99">
        <v>1</v>
      </c>
      <c r="E129" s="98">
        <f t="shared" si="3"/>
        <v>37.409999999999997</v>
      </c>
      <c r="F129" s="384"/>
    </row>
    <row r="130" spans="1:6" ht="12.75" customHeight="1">
      <c r="A130" s="9" t="s">
        <v>380</v>
      </c>
      <c r="B130" s="7">
        <v>57.75</v>
      </c>
      <c r="C130" s="7">
        <v>12.66</v>
      </c>
      <c r="D130" s="99">
        <v>1</v>
      </c>
      <c r="E130" s="98">
        <f t="shared" si="3"/>
        <v>70.41</v>
      </c>
      <c r="F130" s="384"/>
    </row>
    <row r="131" spans="1:6" ht="12.75" customHeight="1">
      <c r="A131" s="9" t="s">
        <v>381</v>
      </c>
      <c r="B131" s="7">
        <v>81.99</v>
      </c>
      <c r="C131" s="7">
        <v>17.73</v>
      </c>
      <c r="D131" s="99">
        <v>1</v>
      </c>
      <c r="E131" s="98">
        <f t="shared" si="3"/>
        <v>99.72</v>
      </c>
      <c r="F131" s="384"/>
    </row>
    <row r="132" spans="1:6" ht="12.75" customHeight="1">
      <c r="A132" s="9" t="s">
        <v>382</v>
      </c>
      <c r="B132" s="7">
        <v>85.87</v>
      </c>
      <c r="C132" s="7">
        <v>19.22</v>
      </c>
      <c r="D132" s="99">
        <v>1</v>
      </c>
      <c r="E132" s="98">
        <f t="shared" si="3"/>
        <v>105.09</v>
      </c>
      <c r="F132" s="384"/>
    </row>
    <row r="133" spans="1:6" ht="12.75" customHeight="1">
      <c r="A133" s="9" t="s">
        <v>145</v>
      </c>
      <c r="B133" s="7">
        <v>1.62</v>
      </c>
      <c r="C133" s="7">
        <v>6.33</v>
      </c>
      <c r="D133" s="99">
        <v>1</v>
      </c>
      <c r="E133" s="98">
        <f>SUM(B133,C133)*D133</f>
        <v>7.95</v>
      </c>
      <c r="F133" s="384"/>
    </row>
    <row r="134" spans="1:6" ht="12.75" customHeight="1">
      <c r="A134" s="9" t="s">
        <v>383</v>
      </c>
      <c r="B134" s="7">
        <v>0.35</v>
      </c>
      <c r="C134" s="7">
        <v>1.36</v>
      </c>
      <c r="D134" s="99">
        <v>1</v>
      </c>
      <c r="E134" s="98">
        <f>SUM(B134,C134)*D134</f>
        <v>1.71</v>
      </c>
      <c r="F134" s="384"/>
    </row>
    <row r="135" spans="1:6" ht="12.75" customHeight="1">
      <c r="A135" s="9" t="s">
        <v>88</v>
      </c>
      <c r="B135" s="7">
        <v>0.28000000000000003</v>
      </c>
      <c r="C135" s="7">
        <v>1.0900000000000001</v>
      </c>
      <c r="D135" s="99">
        <v>1</v>
      </c>
      <c r="E135" s="98">
        <f>SUM(B135,C135)*D135</f>
        <v>1.37</v>
      </c>
      <c r="F135" s="384"/>
    </row>
    <row r="136" spans="1:6" ht="12.75" customHeight="1">
      <c r="A136" s="9" t="s">
        <v>384</v>
      </c>
      <c r="B136" s="7">
        <v>0.25</v>
      </c>
      <c r="C136" s="7">
        <v>0.56999999999999995</v>
      </c>
      <c r="D136" s="99">
        <v>1</v>
      </c>
      <c r="E136" s="98">
        <f>SUM(B136,C136)*D136</f>
        <v>0.82</v>
      </c>
      <c r="F136" s="384"/>
    </row>
    <row r="137" spans="1:6" ht="12.75" customHeight="1">
      <c r="A137" s="388"/>
      <c r="B137" s="388"/>
      <c r="C137" s="388"/>
      <c r="D137" s="388"/>
      <c r="E137" s="388"/>
      <c r="F137" s="384"/>
    </row>
  </sheetData>
  <mergeCells count="9">
    <mergeCell ref="G3:I3"/>
    <mergeCell ref="F1:F137"/>
    <mergeCell ref="A1:E1"/>
    <mergeCell ref="A2:A3"/>
    <mergeCell ref="B2:C2"/>
    <mergeCell ref="A137:E137"/>
    <mergeCell ref="D2:D3"/>
    <mergeCell ref="E2:E3"/>
    <mergeCell ref="A4:E4"/>
  </mergeCells>
  <phoneticPr fontId="0" type="noConversion"/>
  <printOptions gridLines="1"/>
  <pageMargins left="0" right="0" top="0" bottom="0" header="0" footer="0"/>
  <pageSetup scale="120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2060"/>
  </sheetPr>
  <dimension ref="A1:M169"/>
  <sheetViews>
    <sheetView zoomScaleNormal="100" workbookViewId="0">
      <pane ySplit="4" topLeftCell="A5" activePane="bottomLeft" state="frozen"/>
      <selection pane="bottomLeft" activeCell="H7" sqref="H7:M8"/>
    </sheetView>
  </sheetViews>
  <sheetFormatPr defaultRowHeight="12.75"/>
  <cols>
    <col min="1" max="1" width="17.7109375" style="124" customWidth="1"/>
    <col min="2" max="2" width="31.5703125" style="124" customWidth="1"/>
    <col min="3" max="3" width="9.5703125" style="124" customWidth="1"/>
    <col min="4" max="4" width="10.28515625" style="124" customWidth="1"/>
    <col min="5" max="5" width="14.5703125" style="123" customWidth="1"/>
    <col min="6" max="6" width="21.5703125" style="124" customWidth="1"/>
    <col min="7" max="7" width="2.28515625" style="124" customWidth="1"/>
    <col min="8" max="8" width="11.5703125" style="124" customWidth="1"/>
    <col min="9" max="9" width="6.28515625" style="124" customWidth="1"/>
    <col min="10" max="11" width="9.140625" style="124" hidden="1" customWidth="1"/>
    <col min="12" max="16384" width="9.140625" style="124"/>
  </cols>
  <sheetData>
    <row r="1" spans="1:13" ht="15.75" customHeight="1">
      <c r="A1" s="122" t="s">
        <v>385</v>
      </c>
      <c r="B1" s="400" t="s">
        <v>386</v>
      </c>
      <c r="C1" s="400"/>
      <c r="D1" s="400"/>
      <c r="E1" s="400"/>
      <c r="F1" s="400"/>
      <c r="G1" s="401"/>
      <c r="H1" s="402"/>
      <c r="I1" s="402"/>
    </row>
    <row r="2" spans="1:13" ht="12" customHeight="1">
      <c r="A2" s="125"/>
      <c r="B2" s="403"/>
      <c r="C2" s="403"/>
      <c r="D2" s="403"/>
      <c r="E2" s="403"/>
      <c r="F2" s="403"/>
      <c r="G2" s="401"/>
      <c r="H2" s="404" t="s">
        <v>387</v>
      </c>
      <c r="I2" s="404"/>
    </row>
    <row r="3" spans="1:13" ht="15" customHeight="1">
      <c r="A3" s="398"/>
      <c r="B3" s="405" t="s">
        <v>255</v>
      </c>
      <c r="C3" s="405" t="s">
        <v>256</v>
      </c>
      <c r="D3" s="405"/>
      <c r="E3" s="406"/>
      <c r="F3" s="407"/>
      <c r="G3" s="401"/>
      <c r="H3" s="404"/>
      <c r="I3" s="404"/>
    </row>
    <row r="4" spans="1:13" ht="30" customHeight="1">
      <c r="A4" s="398"/>
      <c r="B4" s="405"/>
      <c r="C4" s="126" t="s">
        <v>259</v>
      </c>
      <c r="D4" s="126" t="s">
        <v>260</v>
      </c>
      <c r="E4" s="127" t="s">
        <v>257</v>
      </c>
      <c r="F4" s="127" t="s">
        <v>258</v>
      </c>
      <c r="G4" s="401"/>
      <c r="H4" s="408" t="s">
        <v>388</v>
      </c>
      <c r="I4" s="408"/>
    </row>
    <row r="5" spans="1:13" ht="12.75" customHeight="1">
      <c r="A5" s="128"/>
      <c r="B5" s="399"/>
      <c r="C5" s="399"/>
      <c r="D5" s="399"/>
      <c r="E5" s="399"/>
      <c r="F5" s="399"/>
      <c r="G5" s="401"/>
      <c r="H5" s="129" t="s">
        <v>259</v>
      </c>
      <c r="I5" s="129" t="s">
        <v>260</v>
      </c>
    </row>
    <row r="6" spans="1:13" ht="15" customHeight="1">
      <c r="A6" s="130" t="s">
        <v>389</v>
      </c>
      <c r="B6" s="394" t="s">
        <v>390</v>
      </c>
      <c r="C6" s="394"/>
      <c r="D6" s="394"/>
      <c r="E6" s="394"/>
      <c r="F6" s="394"/>
      <c r="G6" s="401"/>
      <c r="H6" s="154">
        <v>1.25</v>
      </c>
      <c r="I6" s="154">
        <v>1.1200000000000001</v>
      </c>
      <c r="L6" s="155"/>
      <c r="M6" s="159"/>
    </row>
    <row r="7" spans="1:13" ht="12.75" customHeight="1">
      <c r="A7" s="398"/>
      <c r="B7" s="131" t="s">
        <v>261</v>
      </c>
      <c r="C7" s="132">
        <f>(30.76*H6)</f>
        <v>38.450000000000003</v>
      </c>
      <c r="D7" s="132">
        <f>(0.62*I6)</f>
        <v>0.69440000000000002</v>
      </c>
      <c r="E7" s="133">
        <v>1</v>
      </c>
      <c r="F7" s="134">
        <f>(C7+D7)*E7</f>
        <v>39.144400000000005</v>
      </c>
      <c r="G7" s="401"/>
      <c r="H7" s="160"/>
      <c r="I7" s="160"/>
      <c r="M7" s="159"/>
    </row>
    <row r="8" spans="1:13" ht="12.75" customHeight="1">
      <c r="A8" s="398"/>
      <c r="B8" s="399"/>
      <c r="C8" s="399"/>
      <c r="D8" s="399"/>
      <c r="E8" s="399"/>
      <c r="F8" s="399"/>
      <c r="G8" s="401"/>
    </row>
    <row r="9" spans="1:13" ht="15" customHeight="1">
      <c r="A9" s="135" t="s">
        <v>389</v>
      </c>
      <c r="B9" s="394" t="s">
        <v>391</v>
      </c>
      <c r="C9" s="394"/>
      <c r="D9" s="394"/>
      <c r="E9" s="394"/>
      <c r="F9" s="394"/>
      <c r="G9" s="401"/>
    </row>
    <row r="10" spans="1:13" ht="12.75" customHeight="1">
      <c r="A10" s="395"/>
      <c r="B10" s="131" t="s">
        <v>262</v>
      </c>
      <c r="C10" s="132">
        <f>(0.92*H6)</f>
        <v>1.1500000000000001</v>
      </c>
      <c r="D10" s="132">
        <f>(1.71*I6)</f>
        <v>1.9152000000000002</v>
      </c>
      <c r="E10" s="133">
        <v>1</v>
      </c>
      <c r="F10" s="134">
        <f>(C10+D10)*E10</f>
        <v>3.0652000000000004</v>
      </c>
      <c r="G10" s="401"/>
    </row>
    <row r="11" spans="1:13" ht="12.75" customHeight="1">
      <c r="A11" s="396"/>
      <c r="B11" s="131" t="s">
        <v>263</v>
      </c>
      <c r="C11" s="132">
        <f>(1.85*H6)</f>
        <v>2.3125</v>
      </c>
      <c r="D11" s="132">
        <f>(3.41*I6)</f>
        <v>3.8192000000000004</v>
      </c>
      <c r="E11" s="133">
        <v>1</v>
      </c>
      <c r="F11" s="134">
        <f>(C11+D11)*E11</f>
        <v>6.1317000000000004</v>
      </c>
      <c r="G11" s="401"/>
    </row>
    <row r="12" spans="1:13" ht="12.75" customHeight="1">
      <c r="A12" s="397"/>
      <c r="B12" s="131" t="s">
        <v>264</v>
      </c>
      <c r="C12" s="132">
        <f>(4.62*H6)</f>
        <v>5.7750000000000004</v>
      </c>
      <c r="D12" s="132">
        <f>(8.53*I6)</f>
        <v>9.5535999999999994</v>
      </c>
      <c r="E12" s="133">
        <v>1</v>
      </c>
      <c r="F12" s="134">
        <f>(C12+D12)*E12</f>
        <v>15.3286</v>
      </c>
      <c r="G12" s="401"/>
    </row>
    <row r="13" spans="1:13" ht="12.75" customHeight="1">
      <c r="A13" s="128"/>
      <c r="B13" s="399"/>
      <c r="C13" s="399"/>
      <c r="D13" s="399"/>
      <c r="E13" s="399"/>
      <c r="F13" s="399"/>
      <c r="G13" s="401"/>
    </row>
    <row r="14" spans="1:13" ht="15" customHeight="1">
      <c r="A14" s="135" t="s">
        <v>389</v>
      </c>
      <c r="B14" s="394" t="s">
        <v>392</v>
      </c>
      <c r="C14" s="394"/>
      <c r="D14" s="394"/>
      <c r="E14" s="394"/>
      <c r="F14" s="394"/>
      <c r="G14" s="401"/>
    </row>
    <row r="15" spans="1:13" ht="12.75" customHeight="1">
      <c r="A15" s="395"/>
      <c r="B15" s="131" t="s">
        <v>265</v>
      </c>
      <c r="C15" s="132">
        <f>(4.62*H6)</f>
        <v>5.7750000000000004</v>
      </c>
      <c r="D15" s="132">
        <f>(14.49*I6)</f>
        <v>16.228800000000003</v>
      </c>
      <c r="E15" s="133">
        <v>1</v>
      </c>
      <c r="F15" s="134">
        <f>(C15+D15)*E15</f>
        <v>22.003800000000005</v>
      </c>
      <c r="G15" s="401"/>
    </row>
    <row r="16" spans="1:13" ht="12.75" customHeight="1">
      <c r="A16" s="396"/>
      <c r="B16" s="131" t="s">
        <v>266</v>
      </c>
      <c r="C16" s="132">
        <f>(0.58*H6)</f>
        <v>0.72499999999999998</v>
      </c>
      <c r="D16" s="132">
        <f>(1.92*I6)</f>
        <v>2.1504000000000003</v>
      </c>
      <c r="E16" s="133">
        <v>1</v>
      </c>
      <c r="F16" s="134">
        <f>(C16+D16)*E16</f>
        <v>2.8754000000000004</v>
      </c>
      <c r="G16" s="401"/>
    </row>
    <row r="17" spans="1:7" ht="12.75" customHeight="1">
      <c r="A17" s="396"/>
      <c r="B17" s="131" t="s">
        <v>267</v>
      </c>
      <c r="C17" s="132">
        <f>(0.9*H6)</f>
        <v>1.125</v>
      </c>
      <c r="D17" s="132">
        <f>(2.98*I6)</f>
        <v>3.3376000000000001</v>
      </c>
      <c r="E17" s="133">
        <v>1</v>
      </c>
      <c r="F17" s="134">
        <f>(C17+D17)*E17</f>
        <v>4.4626000000000001</v>
      </c>
      <c r="G17" s="401"/>
    </row>
    <row r="18" spans="1:7" ht="12.75" customHeight="1">
      <c r="A18" s="396"/>
      <c r="B18" s="131" t="s">
        <v>268</v>
      </c>
      <c r="C18" s="132">
        <f>(0.9*H6)</f>
        <v>1.125</v>
      </c>
      <c r="D18" s="132">
        <f>(2.98*I6)</f>
        <v>3.3376000000000001</v>
      </c>
      <c r="E18" s="133">
        <v>1</v>
      </c>
      <c r="F18" s="134">
        <f>(C18+D18)*E18</f>
        <v>4.4626000000000001</v>
      </c>
      <c r="G18" s="401"/>
    </row>
    <row r="19" spans="1:7" ht="12.75" customHeight="1">
      <c r="A19" s="396"/>
      <c r="B19" s="131" t="s">
        <v>269</v>
      </c>
      <c r="C19" s="132">
        <f>(0.58*H6)</f>
        <v>0.72499999999999998</v>
      </c>
      <c r="D19" s="132">
        <f>(1.92*I6)</f>
        <v>2.1504000000000003</v>
      </c>
      <c r="E19" s="133">
        <v>1</v>
      </c>
      <c r="F19" s="134">
        <f>(C19+D19)*E19</f>
        <v>2.8754000000000004</v>
      </c>
      <c r="G19" s="401"/>
    </row>
    <row r="20" spans="1:7" ht="12.75" customHeight="1">
      <c r="A20" s="396"/>
      <c r="B20" s="131" t="s">
        <v>270</v>
      </c>
      <c r="C20" s="132">
        <f>(0.77*H6)</f>
        <v>0.96250000000000002</v>
      </c>
      <c r="D20" s="132">
        <f>(2.56*I6)</f>
        <v>2.8672000000000004</v>
      </c>
      <c r="E20" s="133">
        <v>1</v>
      </c>
      <c r="F20" s="134">
        <f t="shared" ref="F20:F31" si="0">(C20+D20)*E20</f>
        <v>3.8297000000000003</v>
      </c>
      <c r="G20" s="401"/>
    </row>
    <row r="21" spans="1:7" ht="12.75" customHeight="1">
      <c r="A21" s="396"/>
      <c r="B21" s="131" t="s">
        <v>271</v>
      </c>
      <c r="C21" s="132">
        <f>(0.77*H6)</f>
        <v>0.96250000000000002</v>
      </c>
      <c r="D21" s="132">
        <f>(2.56*I6)</f>
        <v>2.8672000000000004</v>
      </c>
      <c r="E21" s="133">
        <v>1</v>
      </c>
      <c r="F21" s="134">
        <f t="shared" si="0"/>
        <v>3.8297000000000003</v>
      </c>
      <c r="G21" s="401"/>
    </row>
    <row r="22" spans="1:7" ht="12.75" customHeight="1">
      <c r="A22" s="396"/>
      <c r="B22" s="131" t="s">
        <v>272</v>
      </c>
      <c r="C22" s="132">
        <f>(0.83*H6)</f>
        <v>1.0374999999999999</v>
      </c>
      <c r="D22" s="132">
        <f>(2.77*I6)</f>
        <v>3.1024000000000003</v>
      </c>
      <c r="E22" s="133">
        <v>1</v>
      </c>
      <c r="F22" s="134">
        <f t="shared" si="0"/>
        <v>4.1398999999999999</v>
      </c>
      <c r="G22" s="401"/>
    </row>
    <row r="23" spans="1:7" ht="12.75" customHeight="1">
      <c r="A23" s="396"/>
      <c r="B23" s="131" t="s">
        <v>273</v>
      </c>
      <c r="C23" s="132">
        <f>(0.96*H6)</f>
        <v>1.2</v>
      </c>
      <c r="D23" s="132">
        <f>(3.2*I6)</f>
        <v>3.5840000000000005</v>
      </c>
      <c r="E23" s="133">
        <v>1</v>
      </c>
      <c r="F23" s="134">
        <f t="shared" si="0"/>
        <v>4.7840000000000007</v>
      </c>
      <c r="G23" s="401"/>
    </row>
    <row r="24" spans="1:7" ht="12.75" customHeight="1">
      <c r="A24" s="396"/>
      <c r="B24" s="131" t="s">
        <v>274</v>
      </c>
      <c r="C24" s="132">
        <f>(0.96*H6)</f>
        <v>1.2</v>
      </c>
      <c r="D24" s="132">
        <f>(3.2*I6)</f>
        <v>3.5840000000000005</v>
      </c>
      <c r="E24" s="133">
        <v>1</v>
      </c>
      <c r="F24" s="134">
        <f t="shared" si="0"/>
        <v>4.7840000000000007</v>
      </c>
      <c r="G24" s="401"/>
    </row>
    <row r="25" spans="1:7" ht="12.75" customHeight="1">
      <c r="A25" s="396"/>
      <c r="B25" s="131" t="s">
        <v>275</v>
      </c>
      <c r="C25" s="132">
        <f>(1.03*H6)</f>
        <v>1.2875000000000001</v>
      </c>
      <c r="D25" s="132">
        <f>(3.41*I6)</f>
        <v>3.8192000000000004</v>
      </c>
      <c r="E25" s="133">
        <v>1</v>
      </c>
      <c r="F25" s="134">
        <f t="shared" si="0"/>
        <v>5.1067</v>
      </c>
      <c r="G25" s="401"/>
    </row>
    <row r="26" spans="1:7" ht="12.75" customHeight="1">
      <c r="A26" s="396"/>
      <c r="B26" s="131" t="s">
        <v>276</v>
      </c>
      <c r="C26" s="132">
        <f>(1.54*H6)</f>
        <v>1.925</v>
      </c>
      <c r="D26" s="132">
        <f>(5.12*I6)</f>
        <v>5.7344000000000008</v>
      </c>
      <c r="E26" s="133">
        <v>1</v>
      </c>
      <c r="F26" s="134">
        <f t="shared" si="0"/>
        <v>7.6594000000000007</v>
      </c>
      <c r="G26" s="401"/>
    </row>
    <row r="27" spans="1:7" ht="12.75" customHeight="1">
      <c r="A27" s="396"/>
      <c r="B27" s="131" t="s">
        <v>277</v>
      </c>
      <c r="C27" s="132">
        <f>(2.43*H6)</f>
        <v>3.0375000000000001</v>
      </c>
      <c r="D27" s="132">
        <f>(8.06*I6)</f>
        <v>9.0272000000000006</v>
      </c>
      <c r="E27" s="133">
        <v>1</v>
      </c>
      <c r="F27" s="134">
        <f t="shared" si="0"/>
        <v>12.0647</v>
      </c>
      <c r="G27" s="401"/>
    </row>
    <row r="28" spans="1:7" ht="12.75" customHeight="1">
      <c r="A28" s="396"/>
      <c r="B28" s="131" t="s">
        <v>278</v>
      </c>
      <c r="C28" s="132">
        <f>(2.43*H6)</f>
        <v>3.0375000000000001</v>
      </c>
      <c r="D28" s="132">
        <f>(8.06*I6)</f>
        <v>9.0272000000000006</v>
      </c>
      <c r="E28" s="133">
        <v>1</v>
      </c>
      <c r="F28" s="134">
        <f t="shared" si="0"/>
        <v>12.0647</v>
      </c>
      <c r="G28" s="401"/>
    </row>
    <row r="29" spans="1:7" ht="12.75" customHeight="1">
      <c r="A29" s="396"/>
      <c r="B29" s="131" t="s">
        <v>279</v>
      </c>
      <c r="C29" s="132">
        <f>(1.22*H6)</f>
        <v>1.5249999999999999</v>
      </c>
      <c r="D29" s="132">
        <f>(4.05*I6)</f>
        <v>4.5360000000000005</v>
      </c>
      <c r="E29" s="133">
        <v>1</v>
      </c>
      <c r="F29" s="134">
        <f t="shared" si="0"/>
        <v>6.0609999999999999</v>
      </c>
      <c r="G29" s="401"/>
    </row>
    <row r="30" spans="1:7" ht="12.75" customHeight="1">
      <c r="A30" s="396"/>
      <c r="B30" s="131" t="s">
        <v>280</v>
      </c>
      <c r="C30" s="132">
        <f>(0.58*H6)</f>
        <v>0.72499999999999998</v>
      </c>
      <c r="D30" s="132">
        <f>(1.92*I6)</f>
        <v>2.1504000000000003</v>
      </c>
      <c r="E30" s="133">
        <v>1</v>
      </c>
      <c r="F30" s="134">
        <f t="shared" si="0"/>
        <v>2.8754000000000004</v>
      </c>
      <c r="G30" s="401"/>
    </row>
    <row r="31" spans="1:7" ht="12.75" customHeight="1">
      <c r="A31" s="397"/>
      <c r="B31" s="131" t="s">
        <v>281</v>
      </c>
      <c r="C31" s="132">
        <f>(0.26*H6)</f>
        <v>0.32500000000000001</v>
      </c>
      <c r="D31" s="132">
        <f>(0.85*I6)</f>
        <v>0.95200000000000007</v>
      </c>
      <c r="E31" s="133">
        <v>1</v>
      </c>
      <c r="F31" s="134">
        <f t="shared" si="0"/>
        <v>1.2770000000000001</v>
      </c>
      <c r="G31" s="401"/>
    </row>
    <row r="32" spans="1:7" ht="12.75" customHeight="1">
      <c r="A32" s="128"/>
      <c r="B32" s="399"/>
      <c r="C32" s="399"/>
      <c r="D32" s="399"/>
      <c r="E32" s="399"/>
      <c r="F32" s="399"/>
      <c r="G32" s="401"/>
    </row>
    <row r="33" spans="1:7" ht="15" customHeight="1">
      <c r="A33" s="135" t="s">
        <v>389</v>
      </c>
      <c r="B33" s="394" t="s">
        <v>393</v>
      </c>
      <c r="C33" s="394"/>
      <c r="D33" s="394"/>
      <c r="E33" s="394"/>
      <c r="F33" s="394"/>
      <c r="G33" s="401"/>
    </row>
    <row r="34" spans="1:7" ht="12.75" customHeight="1">
      <c r="A34" s="395"/>
      <c r="B34" s="131" t="s">
        <v>282</v>
      </c>
      <c r="C34" s="132">
        <f>(4.73*H6)</f>
        <v>5.9125000000000005</v>
      </c>
      <c r="D34" s="132">
        <f>(10.3*I6)</f>
        <v>11.536000000000001</v>
      </c>
      <c r="E34" s="133">
        <v>1</v>
      </c>
      <c r="F34" s="134">
        <f>(C34+D34)*E34</f>
        <v>17.448500000000003</v>
      </c>
      <c r="G34" s="401"/>
    </row>
    <row r="35" spans="1:7" ht="12.75" customHeight="1">
      <c r="A35" s="396"/>
      <c r="B35" s="131" t="s">
        <v>283</v>
      </c>
      <c r="C35" s="132">
        <f>(9.1*H6)</f>
        <v>11.375</v>
      </c>
      <c r="D35" s="132">
        <f>(7.08*I6)</f>
        <v>7.9296000000000006</v>
      </c>
      <c r="E35" s="133">
        <v>1</v>
      </c>
      <c r="F35" s="134">
        <f>(C35+D35)*E35</f>
        <v>19.304600000000001</v>
      </c>
      <c r="G35" s="401"/>
    </row>
    <row r="36" spans="1:7" ht="12.75" customHeight="1">
      <c r="A36" s="396"/>
      <c r="B36" s="131" t="s">
        <v>284</v>
      </c>
      <c r="C36" s="132">
        <f>(7.9*H6)</f>
        <v>9.875</v>
      </c>
      <c r="D36" s="132">
        <f>(6.14*I6)</f>
        <v>6.8768000000000002</v>
      </c>
      <c r="E36" s="133">
        <v>1</v>
      </c>
      <c r="F36" s="134">
        <f>(C36+D36)*E36</f>
        <v>16.751799999999999</v>
      </c>
      <c r="G36" s="401"/>
    </row>
    <row r="37" spans="1:7" ht="12.75" customHeight="1">
      <c r="A37" s="396"/>
      <c r="B37" s="131" t="s">
        <v>285</v>
      </c>
      <c r="C37" s="132">
        <f>(11.51*H6)</f>
        <v>14.387499999999999</v>
      </c>
      <c r="D37" s="132">
        <f>(8.95*I6)</f>
        <v>10.024000000000001</v>
      </c>
      <c r="E37" s="133">
        <v>1</v>
      </c>
      <c r="F37" s="134">
        <f>(C37+D37)*E37</f>
        <v>24.4115</v>
      </c>
      <c r="G37" s="401"/>
    </row>
    <row r="38" spans="1:7" ht="12.75" customHeight="1">
      <c r="A38" s="397"/>
      <c r="B38" s="131" t="s">
        <v>286</v>
      </c>
      <c r="C38" s="132">
        <f>(1.51*H6)</f>
        <v>1.8875</v>
      </c>
      <c r="D38" s="132">
        <f>(1.71*I6)</f>
        <v>1.9152000000000002</v>
      </c>
      <c r="E38" s="133">
        <v>1</v>
      </c>
      <c r="F38" s="134">
        <f>(C38+D38)*E38</f>
        <v>3.8027000000000002</v>
      </c>
      <c r="G38" s="401"/>
    </row>
    <row r="39" spans="1:7" ht="12.75" customHeight="1">
      <c r="A39" s="128"/>
      <c r="B39" s="393"/>
      <c r="C39" s="393"/>
      <c r="D39" s="393"/>
      <c r="E39" s="393"/>
      <c r="F39" s="393"/>
      <c r="G39" s="401"/>
    </row>
    <row r="40" spans="1:7" ht="15" customHeight="1">
      <c r="A40" s="135" t="s">
        <v>389</v>
      </c>
      <c r="B40" s="394" t="s">
        <v>394</v>
      </c>
      <c r="C40" s="394"/>
      <c r="D40" s="394"/>
      <c r="E40" s="394"/>
      <c r="F40" s="394"/>
      <c r="G40" s="401"/>
    </row>
    <row r="41" spans="1:7" ht="12.75" customHeight="1">
      <c r="A41" s="398"/>
      <c r="B41" s="131" t="s">
        <v>287</v>
      </c>
      <c r="C41" s="132">
        <f>(45.77*H6)</f>
        <v>57.212500000000006</v>
      </c>
      <c r="D41" s="132">
        <f>(54.72*I6)</f>
        <v>61.286400000000008</v>
      </c>
      <c r="E41" s="133">
        <v>1</v>
      </c>
      <c r="F41" s="134">
        <f>(C41+D41)*E41</f>
        <v>118.49890000000002</v>
      </c>
      <c r="G41" s="401"/>
    </row>
    <row r="42" spans="1:7" ht="12.75" customHeight="1">
      <c r="A42" s="398"/>
      <c r="B42" s="131" t="s">
        <v>288</v>
      </c>
      <c r="C42" s="132">
        <f>(33.65*H6)</f>
        <v>42.0625</v>
      </c>
      <c r="D42" s="132">
        <f>(16.42*I6)</f>
        <v>18.390400000000003</v>
      </c>
      <c r="E42" s="133">
        <v>1</v>
      </c>
      <c r="F42" s="134">
        <f>(C42+D42)*E42</f>
        <v>60.4529</v>
      </c>
      <c r="G42" s="401"/>
    </row>
    <row r="43" spans="1:7" ht="12.75" customHeight="1">
      <c r="A43" s="128"/>
      <c r="B43" s="393"/>
      <c r="C43" s="393"/>
      <c r="D43" s="393"/>
      <c r="E43" s="393"/>
      <c r="F43" s="393"/>
      <c r="G43" s="401"/>
    </row>
    <row r="44" spans="1:7" ht="15" customHeight="1">
      <c r="A44" s="135" t="s">
        <v>389</v>
      </c>
      <c r="B44" s="394" t="s">
        <v>395</v>
      </c>
      <c r="C44" s="394"/>
      <c r="D44" s="394"/>
      <c r="E44" s="394"/>
      <c r="F44" s="394"/>
      <c r="G44" s="401"/>
    </row>
    <row r="45" spans="1:7" ht="12.75" customHeight="1">
      <c r="A45" s="395"/>
      <c r="B45" s="131" t="s">
        <v>289</v>
      </c>
      <c r="C45" s="132">
        <f>(1.95*H6)</f>
        <v>2.4375</v>
      </c>
      <c r="D45" s="132">
        <f>(2.56*I6)</f>
        <v>2.8672000000000004</v>
      </c>
      <c r="E45" s="133">
        <v>1</v>
      </c>
      <c r="F45" s="134">
        <f t="shared" ref="F45:F51" si="1">(C45+D45)*E45</f>
        <v>5.3047000000000004</v>
      </c>
      <c r="G45" s="401"/>
    </row>
    <row r="46" spans="1:7" ht="12.75" customHeight="1">
      <c r="A46" s="396"/>
      <c r="B46" s="131" t="s">
        <v>290</v>
      </c>
      <c r="C46" s="132">
        <f>(2.59*H6)</f>
        <v>3.2374999999999998</v>
      </c>
      <c r="D46" s="132">
        <f>(3.41*I6)</f>
        <v>3.8192000000000004</v>
      </c>
      <c r="E46" s="133">
        <v>1</v>
      </c>
      <c r="F46" s="134">
        <f t="shared" si="1"/>
        <v>7.0567000000000002</v>
      </c>
      <c r="G46" s="401"/>
    </row>
    <row r="47" spans="1:7" ht="12.75" customHeight="1">
      <c r="A47" s="396"/>
      <c r="B47" s="131" t="s">
        <v>104</v>
      </c>
      <c r="C47" s="132">
        <f>(2.59*H6)</f>
        <v>3.2374999999999998</v>
      </c>
      <c r="D47" s="132">
        <f>(3.41*I6)</f>
        <v>3.8192000000000004</v>
      </c>
      <c r="E47" s="133">
        <v>1</v>
      </c>
      <c r="F47" s="134">
        <f t="shared" si="1"/>
        <v>7.0567000000000002</v>
      </c>
      <c r="G47" s="401"/>
    </row>
    <row r="48" spans="1:7" ht="12.75" customHeight="1">
      <c r="A48" s="396"/>
      <c r="B48" s="131" t="s">
        <v>291</v>
      </c>
      <c r="C48" s="132">
        <f>(1.56*H6)</f>
        <v>1.9500000000000002</v>
      </c>
      <c r="D48" s="132">
        <f>(2.05*I6)</f>
        <v>2.2959999999999998</v>
      </c>
      <c r="E48" s="133">
        <v>1</v>
      </c>
      <c r="F48" s="134">
        <f t="shared" si="1"/>
        <v>4.2460000000000004</v>
      </c>
      <c r="G48" s="401"/>
    </row>
    <row r="49" spans="1:7" ht="12.75" customHeight="1">
      <c r="A49" s="396"/>
      <c r="B49" s="131" t="s">
        <v>292</v>
      </c>
      <c r="C49" s="132">
        <f>(1.17*H6)</f>
        <v>1.4624999999999999</v>
      </c>
      <c r="D49" s="132">
        <f>(1.53*I6)</f>
        <v>1.7136000000000002</v>
      </c>
      <c r="E49" s="133">
        <v>1</v>
      </c>
      <c r="F49" s="134">
        <f t="shared" si="1"/>
        <v>3.1760999999999999</v>
      </c>
      <c r="G49" s="401"/>
    </row>
    <row r="50" spans="1:7" ht="12.75" customHeight="1">
      <c r="A50" s="396"/>
      <c r="B50" s="131" t="s">
        <v>293</v>
      </c>
      <c r="C50" s="132">
        <f>(2.79*H6)</f>
        <v>3.4874999999999998</v>
      </c>
      <c r="D50" s="132">
        <f>(3.67*I6)</f>
        <v>4.1104000000000003</v>
      </c>
      <c r="E50" s="133">
        <v>1</v>
      </c>
      <c r="F50" s="134">
        <f t="shared" si="1"/>
        <v>7.5979000000000001</v>
      </c>
      <c r="G50" s="401"/>
    </row>
    <row r="51" spans="1:7" ht="12.75" customHeight="1">
      <c r="A51" s="397"/>
      <c r="B51" s="131" t="s">
        <v>294</v>
      </c>
      <c r="C51" s="132">
        <f>(0.71*H6)</f>
        <v>0.88749999999999996</v>
      </c>
      <c r="D51" s="132">
        <f>(0.94*I6)</f>
        <v>1.0528</v>
      </c>
      <c r="E51" s="133">
        <v>1</v>
      </c>
      <c r="F51" s="134">
        <f t="shared" si="1"/>
        <v>1.9402999999999999</v>
      </c>
      <c r="G51" s="401"/>
    </row>
    <row r="52" spans="1:7" ht="12.75" customHeight="1">
      <c r="A52" s="128"/>
      <c r="B52" s="393"/>
      <c r="C52" s="393"/>
      <c r="D52" s="393"/>
      <c r="E52" s="393"/>
      <c r="F52" s="393"/>
      <c r="G52" s="401"/>
    </row>
    <row r="53" spans="1:7" ht="15" customHeight="1">
      <c r="A53" s="135" t="s">
        <v>389</v>
      </c>
      <c r="B53" s="394" t="s">
        <v>396</v>
      </c>
      <c r="C53" s="394"/>
      <c r="D53" s="394"/>
      <c r="E53" s="394"/>
      <c r="F53" s="394"/>
      <c r="G53" s="401"/>
    </row>
    <row r="54" spans="1:7" ht="12.75" customHeight="1">
      <c r="A54" s="398"/>
      <c r="B54" s="131" t="s">
        <v>295</v>
      </c>
      <c r="C54" s="132">
        <f>(3.28*H6)</f>
        <v>4.0999999999999996</v>
      </c>
      <c r="D54" s="132">
        <f>(4.26*I6)</f>
        <v>4.7712000000000003</v>
      </c>
      <c r="E54" s="133">
        <v>1</v>
      </c>
      <c r="F54" s="134">
        <f>(C54+D54)*E54</f>
        <v>8.8712</v>
      </c>
      <c r="G54" s="401"/>
    </row>
    <row r="55" spans="1:7" ht="12.75" customHeight="1">
      <c r="A55" s="398"/>
      <c r="B55" s="131" t="s">
        <v>296</v>
      </c>
      <c r="C55" s="132">
        <f>(1.31*H6)</f>
        <v>1.6375000000000002</v>
      </c>
      <c r="D55" s="132">
        <f>(1.71*I6)</f>
        <v>1.9152000000000002</v>
      </c>
      <c r="E55" s="133">
        <v>1</v>
      </c>
      <c r="F55" s="134">
        <f>(C55+D55)*E55</f>
        <v>3.5527000000000006</v>
      </c>
      <c r="G55" s="401"/>
    </row>
    <row r="56" spans="1:7" ht="12.75" customHeight="1">
      <c r="A56" s="128"/>
      <c r="B56" s="393"/>
      <c r="C56" s="393"/>
      <c r="D56" s="393"/>
      <c r="E56" s="393"/>
      <c r="F56" s="393"/>
      <c r="G56" s="401"/>
    </row>
    <row r="57" spans="1:7" ht="15" customHeight="1">
      <c r="A57" s="135" t="s">
        <v>389</v>
      </c>
      <c r="B57" s="394" t="s">
        <v>397</v>
      </c>
      <c r="C57" s="394"/>
      <c r="D57" s="394"/>
      <c r="E57" s="394"/>
      <c r="F57" s="394"/>
      <c r="G57" s="401"/>
    </row>
    <row r="58" spans="1:7" ht="12.75" customHeight="1">
      <c r="A58" s="395"/>
      <c r="B58" s="131" t="s">
        <v>297</v>
      </c>
      <c r="C58" s="132">
        <f>(20.89*H6)</f>
        <v>26.112500000000001</v>
      </c>
      <c r="D58" s="132">
        <f>(6.46*I6)</f>
        <v>7.2352000000000007</v>
      </c>
      <c r="E58" s="133">
        <v>1</v>
      </c>
      <c r="F58" s="134">
        <f t="shared" ref="F58:F96" si="2">(C58+D58)*E58</f>
        <v>33.347700000000003</v>
      </c>
      <c r="G58" s="401"/>
    </row>
    <row r="59" spans="1:7" ht="12.75" customHeight="1">
      <c r="A59" s="396"/>
      <c r="B59" s="131" t="s">
        <v>298</v>
      </c>
      <c r="C59" s="132">
        <f>(10.81*H6)</f>
        <v>13.512500000000001</v>
      </c>
      <c r="D59" s="132">
        <f>(7.12*I6)</f>
        <v>7.974400000000001</v>
      </c>
      <c r="E59" s="133">
        <v>1</v>
      </c>
      <c r="F59" s="134">
        <f t="shared" si="2"/>
        <v>21.486900000000002</v>
      </c>
      <c r="G59" s="401"/>
    </row>
    <row r="60" spans="1:7" ht="12.75" customHeight="1">
      <c r="A60" s="396"/>
      <c r="B60" s="131" t="s">
        <v>299</v>
      </c>
      <c r="C60" s="132">
        <f>(10.81*H6)</f>
        <v>13.512500000000001</v>
      </c>
      <c r="D60" s="132">
        <f>(7.12*I6)</f>
        <v>7.974400000000001</v>
      </c>
      <c r="E60" s="133">
        <v>1</v>
      </c>
      <c r="F60" s="134">
        <f t="shared" si="2"/>
        <v>21.486900000000002</v>
      </c>
      <c r="G60" s="401"/>
    </row>
    <row r="61" spans="1:7" ht="12.75" customHeight="1">
      <c r="A61" s="396"/>
      <c r="B61" s="131" t="s">
        <v>300</v>
      </c>
      <c r="C61" s="132">
        <f>(4.54*H6)</f>
        <v>5.6749999999999998</v>
      </c>
      <c r="D61" s="132">
        <f>(9.55*I6)</f>
        <v>10.696000000000002</v>
      </c>
      <c r="E61" s="133">
        <v>1</v>
      </c>
      <c r="F61" s="134">
        <f t="shared" si="2"/>
        <v>16.371000000000002</v>
      </c>
      <c r="G61" s="401"/>
    </row>
    <row r="62" spans="1:7" ht="12.75" customHeight="1">
      <c r="A62" s="396"/>
      <c r="B62" s="131" t="s">
        <v>301</v>
      </c>
      <c r="C62" s="132">
        <f>(1.09*H6)</f>
        <v>1.3625</v>
      </c>
      <c r="D62" s="132">
        <f>(2.51*I6)</f>
        <v>2.8111999999999999</v>
      </c>
      <c r="E62" s="133">
        <v>1</v>
      </c>
      <c r="F62" s="134">
        <f t="shared" si="2"/>
        <v>4.1737000000000002</v>
      </c>
      <c r="G62" s="401"/>
    </row>
    <row r="63" spans="1:7" ht="12.75" customHeight="1">
      <c r="A63" s="396"/>
      <c r="B63" s="131" t="s">
        <v>93</v>
      </c>
      <c r="C63" s="132">
        <f>(0.33*H6)</f>
        <v>0.41250000000000003</v>
      </c>
      <c r="D63" s="132">
        <f>(1.36*I6)</f>
        <v>1.5232000000000003</v>
      </c>
      <c r="E63" s="133">
        <v>1</v>
      </c>
      <c r="F63" s="134">
        <f t="shared" si="2"/>
        <v>1.9357000000000004</v>
      </c>
      <c r="G63" s="401"/>
    </row>
    <row r="64" spans="1:7" ht="12.75" customHeight="1">
      <c r="A64" s="396"/>
      <c r="B64" s="131" t="s">
        <v>302</v>
      </c>
      <c r="C64" s="132">
        <f>(2.12*H6)</f>
        <v>2.6500000000000004</v>
      </c>
      <c r="D64" s="132">
        <f>(16.28*I6)</f>
        <v>18.233600000000003</v>
      </c>
      <c r="E64" s="133">
        <v>1</v>
      </c>
      <c r="F64" s="134">
        <f t="shared" si="2"/>
        <v>20.883600000000001</v>
      </c>
      <c r="G64" s="401"/>
    </row>
    <row r="65" spans="1:7" ht="12.75" customHeight="1">
      <c r="A65" s="396"/>
      <c r="B65" s="131" t="s">
        <v>303</v>
      </c>
      <c r="C65" s="132">
        <f>(2.4*H6)</f>
        <v>3</v>
      </c>
      <c r="D65" s="132">
        <f>(3.29*I6)</f>
        <v>3.6848000000000005</v>
      </c>
      <c r="E65" s="133">
        <v>1</v>
      </c>
      <c r="F65" s="134">
        <f t="shared" si="2"/>
        <v>6.684800000000001</v>
      </c>
      <c r="G65" s="401"/>
    </row>
    <row r="66" spans="1:7" ht="12.75" customHeight="1">
      <c r="A66" s="396"/>
      <c r="B66" s="131" t="s">
        <v>304</v>
      </c>
      <c r="C66" s="132">
        <f>(5.99*H6)</f>
        <v>7.4875000000000007</v>
      </c>
      <c r="D66" s="132">
        <f>(8.22*I6)</f>
        <v>9.2064000000000021</v>
      </c>
      <c r="E66" s="133">
        <v>1</v>
      </c>
      <c r="F66" s="134">
        <f t="shared" si="2"/>
        <v>16.693900000000003</v>
      </c>
      <c r="G66" s="401"/>
    </row>
    <row r="67" spans="1:7" ht="12.75" customHeight="1">
      <c r="A67" s="396"/>
      <c r="B67" s="131" t="s">
        <v>305</v>
      </c>
      <c r="C67" s="132">
        <f>(1.6*H6)</f>
        <v>2</v>
      </c>
      <c r="D67" s="132">
        <f>(3.98*I6)</f>
        <v>4.4576000000000002</v>
      </c>
      <c r="E67" s="133">
        <v>1</v>
      </c>
      <c r="F67" s="134">
        <f t="shared" si="2"/>
        <v>6.4576000000000002</v>
      </c>
      <c r="G67" s="401"/>
    </row>
    <row r="68" spans="1:7" ht="12.75" customHeight="1">
      <c r="A68" s="396"/>
      <c r="B68" s="131" t="s">
        <v>306</v>
      </c>
      <c r="C68" s="132">
        <f>(0.81*H6)</f>
        <v>1.0125000000000002</v>
      </c>
      <c r="D68" s="132">
        <f>(3.8*I6)</f>
        <v>4.2560000000000002</v>
      </c>
      <c r="E68" s="133">
        <v>1</v>
      </c>
      <c r="F68" s="134">
        <f t="shared" si="2"/>
        <v>5.2685000000000004</v>
      </c>
      <c r="G68" s="401"/>
    </row>
    <row r="69" spans="1:7" ht="12.75" customHeight="1">
      <c r="A69" s="396"/>
      <c r="B69" s="131" t="s">
        <v>307</v>
      </c>
      <c r="C69" s="132">
        <f>(1.28*H6)</f>
        <v>1.6</v>
      </c>
      <c r="D69" s="132">
        <f>(2.45*I6)</f>
        <v>2.7440000000000007</v>
      </c>
      <c r="E69" s="133">
        <v>1</v>
      </c>
      <c r="F69" s="134">
        <f t="shared" si="2"/>
        <v>4.3440000000000012</v>
      </c>
      <c r="G69" s="401"/>
    </row>
    <row r="70" spans="1:7" ht="12.75" customHeight="1">
      <c r="A70" s="396"/>
      <c r="B70" s="131" t="s">
        <v>308</v>
      </c>
      <c r="C70" s="132">
        <f>(0.4*H6)</f>
        <v>0.5</v>
      </c>
      <c r="D70" s="132">
        <f>(0.68*I6)</f>
        <v>0.76160000000000017</v>
      </c>
      <c r="E70" s="133">
        <v>1</v>
      </c>
      <c r="F70" s="134">
        <f t="shared" si="2"/>
        <v>1.2616000000000001</v>
      </c>
      <c r="G70" s="401"/>
    </row>
    <row r="71" spans="1:7" ht="12.75" customHeight="1">
      <c r="A71" s="396"/>
      <c r="B71" s="131" t="s">
        <v>309</v>
      </c>
      <c r="C71" s="132">
        <f>(2.01*H6)</f>
        <v>2.5124999999999997</v>
      </c>
      <c r="D71" s="132">
        <f>(2.02*I6)</f>
        <v>2.2624000000000004</v>
      </c>
      <c r="E71" s="133">
        <v>1</v>
      </c>
      <c r="F71" s="134">
        <f t="shared" si="2"/>
        <v>4.7749000000000006</v>
      </c>
      <c r="G71" s="401"/>
    </row>
    <row r="72" spans="1:7" ht="12.75" customHeight="1">
      <c r="A72" s="396"/>
      <c r="B72" s="131" t="s">
        <v>310</v>
      </c>
      <c r="C72" s="132">
        <f>(4.53*H6)</f>
        <v>5.6625000000000005</v>
      </c>
      <c r="D72" s="132">
        <f>(4.54*I6)</f>
        <v>5.0848000000000004</v>
      </c>
      <c r="E72" s="133">
        <v>1</v>
      </c>
      <c r="F72" s="134">
        <f t="shared" si="2"/>
        <v>10.747300000000001</v>
      </c>
      <c r="G72" s="401"/>
    </row>
    <row r="73" spans="1:7" ht="12.75" customHeight="1">
      <c r="A73" s="396"/>
      <c r="B73" s="131" t="s">
        <v>311</v>
      </c>
      <c r="C73" s="132">
        <f>(4.75*H6)</f>
        <v>5.9375</v>
      </c>
      <c r="D73" s="132">
        <f>(0.25*I6)</f>
        <v>0.28000000000000003</v>
      </c>
      <c r="E73" s="133">
        <v>1</v>
      </c>
      <c r="F73" s="134">
        <f t="shared" si="2"/>
        <v>6.2175000000000002</v>
      </c>
      <c r="G73" s="401"/>
    </row>
    <row r="74" spans="1:7" ht="12.75" customHeight="1">
      <c r="A74" s="396"/>
      <c r="B74" s="131" t="s">
        <v>312</v>
      </c>
      <c r="C74" s="132">
        <f>(9.51*H6)</f>
        <v>11.887499999999999</v>
      </c>
      <c r="D74" s="132">
        <f>(0.49*I6)</f>
        <v>0.54880000000000007</v>
      </c>
      <c r="E74" s="133">
        <v>1</v>
      </c>
      <c r="F74" s="134">
        <f t="shared" si="2"/>
        <v>12.436299999999999</v>
      </c>
      <c r="G74" s="401"/>
    </row>
    <row r="75" spans="1:7" ht="12.75" customHeight="1">
      <c r="A75" s="396"/>
      <c r="B75" s="131" t="s">
        <v>313</v>
      </c>
      <c r="C75" s="132">
        <f>(14.26*H6)</f>
        <v>17.824999999999999</v>
      </c>
      <c r="D75" s="132">
        <f>(0.74*I6)</f>
        <v>0.82880000000000009</v>
      </c>
      <c r="E75" s="133">
        <v>1</v>
      </c>
      <c r="F75" s="134">
        <f t="shared" si="2"/>
        <v>18.6538</v>
      </c>
      <c r="G75" s="401"/>
    </row>
    <row r="76" spans="1:7" ht="12.75" customHeight="1">
      <c r="A76" s="396"/>
      <c r="B76" s="131" t="s">
        <v>314</v>
      </c>
      <c r="C76" s="132">
        <f>(17.83*H6)</f>
        <v>22.287499999999998</v>
      </c>
      <c r="D76" s="132">
        <f>(0.92*I6)</f>
        <v>1.0304000000000002</v>
      </c>
      <c r="E76" s="133">
        <v>1</v>
      </c>
      <c r="F76" s="134">
        <f t="shared" si="2"/>
        <v>23.317899999999998</v>
      </c>
      <c r="G76" s="401"/>
    </row>
    <row r="77" spans="1:7" ht="12.75" customHeight="1">
      <c r="A77" s="396"/>
      <c r="B77" s="131" t="s">
        <v>315</v>
      </c>
      <c r="C77" s="132">
        <f>(23.77*H6)</f>
        <v>29.712499999999999</v>
      </c>
      <c r="D77" s="132">
        <f>(1.23*I6)</f>
        <v>1.3776000000000002</v>
      </c>
      <c r="E77" s="133">
        <v>1</v>
      </c>
      <c r="F77" s="134">
        <f t="shared" si="2"/>
        <v>31.0901</v>
      </c>
      <c r="G77" s="401"/>
    </row>
    <row r="78" spans="1:7" ht="12.75" customHeight="1">
      <c r="A78" s="396"/>
      <c r="B78" s="131" t="s">
        <v>316</v>
      </c>
      <c r="C78" s="132">
        <f>(27.4*H6)</f>
        <v>34.25</v>
      </c>
      <c r="D78" s="132">
        <f>(1.5*I6)</f>
        <v>1.6800000000000002</v>
      </c>
      <c r="E78" s="133">
        <v>1</v>
      </c>
      <c r="F78" s="134">
        <f t="shared" si="2"/>
        <v>35.93</v>
      </c>
      <c r="G78" s="401"/>
    </row>
    <row r="79" spans="1:7" ht="12.75" customHeight="1">
      <c r="A79" s="396"/>
      <c r="B79" s="131" t="s">
        <v>317</v>
      </c>
      <c r="C79" s="132">
        <f>(27.95*H6)</f>
        <v>34.9375</v>
      </c>
      <c r="D79" s="132">
        <f>(1.6*I6)</f>
        <v>1.7920000000000003</v>
      </c>
      <c r="E79" s="133">
        <v>1</v>
      </c>
      <c r="F79" s="134">
        <f t="shared" si="2"/>
        <v>36.729500000000002</v>
      </c>
      <c r="G79" s="401"/>
    </row>
    <row r="80" spans="1:7" ht="12.75" customHeight="1">
      <c r="A80" s="396"/>
      <c r="B80" s="131" t="s">
        <v>318</v>
      </c>
      <c r="C80" s="132">
        <f>(29.79*H6)</f>
        <v>37.237499999999997</v>
      </c>
      <c r="D80" s="132">
        <f>(1.63*I6)</f>
        <v>1.8256000000000001</v>
      </c>
      <c r="E80" s="133">
        <v>1</v>
      </c>
      <c r="F80" s="134">
        <f t="shared" si="2"/>
        <v>39.063099999999999</v>
      </c>
      <c r="G80" s="401"/>
    </row>
    <row r="81" spans="1:7" ht="12.75" customHeight="1">
      <c r="A81" s="396"/>
      <c r="B81" s="131" t="s">
        <v>319</v>
      </c>
      <c r="C81" s="132">
        <f>(35.66*H6)</f>
        <v>44.574999999999996</v>
      </c>
      <c r="D81" s="132">
        <f>(1.85*I6)</f>
        <v>2.0720000000000005</v>
      </c>
      <c r="E81" s="133">
        <v>1</v>
      </c>
      <c r="F81" s="134">
        <f t="shared" si="2"/>
        <v>46.646999999999998</v>
      </c>
      <c r="G81" s="401"/>
    </row>
    <row r="82" spans="1:7" ht="12.75" customHeight="1">
      <c r="A82" s="396"/>
      <c r="B82" s="131" t="s">
        <v>320</v>
      </c>
      <c r="C82" s="132">
        <f>(41.6*H6)</f>
        <v>52</v>
      </c>
      <c r="D82" s="132">
        <f>(2.16*I6)</f>
        <v>2.4192000000000005</v>
      </c>
      <c r="E82" s="133">
        <v>1</v>
      </c>
      <c r="F82" s="134">
        <f t="shared" si="2"/>
        <v>54.419200000000004</v>
      </c>
      <c r="G82" s="401"/>
    </row>
    <row r="83" spans="1:7" ht="12.75" customHeight="1">
      <c r="A83" s="396"/>
      <c r="B83" s="131" t="s">
        <v>321</v>
      </c>
      <c r="C83" s="132">
        <f>(47.55*H6)</f>
        <v>59.4375</v>
      </c>
      <c r="D83" s="132">
        <f>(2.46*I6)</f>
        <v>2.7552000000000003</v>
      </c>
      <c r="E83" s="133">
        <v>1</v>
      </c>
      <c r="F83" s="134">
        <f t="shared" si="2"/>
        <v>62.192700000000002</v>
      </c>
      <c r="G83" s="401"/>
    </row>
    <row r="84" spans="1:7" ht="12.75" customHeight="1">
      <c r="A84" s="396"/>
      <c r="B84" s="131" t="s">
        <v>322</v>
      </c>
      <c r="C84" s="132">
        <f>(1.27*H6)</f>
        <v>1.5874999999999999</v>
      </c>
      <c r="D84" s="132">
        <f>(0.14*I6)</f>
        <v>0.15680000000000002</v>
      </c>
      <c r="E84" s="133">
        <v>1</v>
      </c>
      <c r="F84" s="134">
        <f t="shared" si="2"/>
        <v>1.7443</v>
      </c>
      <c r="G84" s="401"/>
    </row>
    <row r="85" spans="1:7" ht="12.75" customHeight="1">
      <c r="A85" s="396"/>
      <c r="B85" s="131" t="s">
        <v>323</v>
      </c>
      <c r="C85" s="132">
        <f>(3.18*H6)</f>
        <v>3.9750000000000001</v>
      </c>
      <c r="D85" s="132">
        <f>(0.36*I6)</f>
        <v>0.4032</v>
      </c>
      <c r="E85" s="133">
        <v>1</v>
      </c>
      <c r="F85" s="134">
        <f t="shared" si="2"/>
        <v>4.3781999999999996</v>
      </c>
      <c r="G85" s="401"/>
    </row>
    <row r="86" spans="1:7" ht="12.75" customHeight="1">
      <c r="A86" s="396"/>
      <c r="B86" s="131" t="s">
        <v>324</v>
      </c>
      <c r="C86" s="132">
        <f>(3.81*H6)</f>
        <v>4.7625000000000002</v>
      </c>
      <c r="D86" s="132">
        <f>(0.43*I6)</f>
        <v>0.48160000000000003</v>
      </c>
      <c r="E86" s="133">
        <v>1</v>
      </c>
      <c r="F86" s="134">
        <f t="shared" si="2"/>
        <v>5.2441000000000004</v>
      </c>
      <c r="G86" s="401"/>
    </row>
    <row r="87" spans="1:7" ht="12.75" customHeight="1">
      <c r="A87" s="396"/>
      <c r="B87" s="131" t="s">
        <v>325</v>
      </c>
      <c r="C87" s="132">
        <f>(1.21*H6)</f>
        <v>1.5125</v>
      </c>
      <c r="D87" s="132">
        <f>(1.22*I6)</f>
        <v>1.3664000000000001</v>
      </c>
      <c r="E87" s="133">
        <v>1</v>
      </c>
      <c r="F87" s="134">
        <f t="shared" si="2"/>
        <v>2.8788999999999998</v>
      </c>
      <c r="G87" s="401"/>
    </row>
    <row r="88" spans="1:7" ht="12.75" customHeight="1">
      <c r="A88" s="396"/>
      <c r="B88" s="131" t="s">
        <v>326</v>
      </c>
      <c r="C88" s="132">
        <f>(0.47*H6)</f>
        <v>0.58749999999999991</v>
      </c>
      <c r="D88" s="132">
        <f>(2.9*I6)</f>
        <v>3.2480000000000002</v>
      </c>
      <c r="E88" s="133">
        <v>1</v>
      </c>
      <c r="F88" s="134">
        <f t="shared" si="2"/>
        <v>3.8355000000000001</v>
      </c>
      <c r="G88" s="401"/>
    </row>
    <row r="89" spans="1:7" ht="12.75" customHeight="1">
      <c r="A89" s="396"/>
      <c r="B89" s="131" t="s">
        <v>327</v>
      </c>
      <c r="C89" s="132">
        <f>(1.05*H6)</f>
        <v>1.3125</v>
      </c>
      <c r="D89" s="132">
        <f>(6.48*I6)</f>
        <v>7.2576000000000009</v>
      </c>
      <c r="E89" s="133">
        <v>1</v>
      </c>
      <c r="F89" s="134">
        <f t="shared" si="2"/>
        <v>8.5701000000000001</v>
      </c>
      <c r="G89" s="401"/>
    </row>
    <row r="90" spans="1:7" ht="12.75" customHeight="1">
      <c r="A90" s="396"/>
      <c r="B90" s="131" t="s">
        <v>328</v>
      </c>
      <c r="C90" s="132">
        <f>(1.77*H6)</f>
        <v>2.2124999999999999</v>
      </c>
      <c r="D90" s="132">
        <f>(10.91*I6)</f>
        <v>12.219200000000001</v>
      </c>
      <c r="E90" s="133">
        <v>1</v>
      </c>
      <c r="F90" s="134">
        <f t="shared" si="2"/>
        <v>14.431700000000001</v>
      </c>
      <c r="G90" s="401"/>
    </row>
    <row r="91" spans="1:7" ht="12.75" customHeight="1">
      <c r="A91" s="396"/>
      <c r="B91" s="131" t="s">
        <v>329</v>
      </c>
      <c r="C91" s="132">
        <f>(2.53*H6)</f>
        <v>3.1624999999999996</v>
      </c>
      <c r="D91" s="132">
        <f>(3.41*I6)</f>
        <v>3.8192000000000004</v>
      </c>
      <c r="E91" s="133">
        <v>1</v>
      </c>
      <c r="F91" s="134">
        <f t="shared" si="2"/>
        <v>6.9817</v>
      </c>
      <c r="G91" s="401"/>
    </row>
    <row r="92" spans="1:7" ht="12.75" customHeight="1">
      <c r="A92" s="396"/>
      <c r="B92" s="131" t="s">
        <v>330</v>
      </c>
      <c r="C92" s="132">
        <f>(2.78*H6)</f>
        <v>3.4749999999999996</v>
      </c>
      <c r="D92" s="132">
        <f>(3.75*I6)</f>
        <v>4.2</v>
      </c>
      <c r="E92" s="133">
        <v>1</v>
      </c>
      <c r="F92" s="134">
        <f t="shared" si="2"/>
        <v>7.6749999999999998</v>
      </c>
      <c r="G92" s="401"/>
    </row>
    <row r="93" spans="1:7" ht="12.75" customHeight="1">
      <c r="A93" s="396"/>
      <c r="B93" s="131" t="s">
        <v>331</v>
      </c>
      <c r="C93" s="132">
        <f>(47.37*H6)</f>
        <v>59.212499999999999</v>
      </c>
      <c r="D93" s="132">
        <f>(4.3*I6)</f>
        <v>4.8159999999999998</v>
      </c>
      <c r="E93" s="133">
        <v>1</v>
      </c>
      <c r="F93" s="134">
        <f t="shared" si="2"/>
        <v>64.028499999999994</v>
      </c>
      <c r="G93" s="401"/>
    </row>
    <row r="94" spans="1:7" ht="12.75" customHeight="1">
      <c r="A94" s="396"/>
      <c r="B94" s="131" t="s">
        <v>332</v>
      </c>
      <c r="C94" s="132">
        <f>(0.14*H6)</f>
        <v>0.17500000000000002</v>
      </c>
      <c r="D94" s="132">
        <f>(0.64*I6)</f>
        <v>0.7168000000000001</v>
      </c>
      <c r="E94" s="133">
        <v>1</v>
      </c>
      <c r="F94" s="134">
        <f t="shared" si="2"/>
        <v>0.89180000000000015</v>
      </c>
      <c r="G94" s="401"/>
    </row>
    <row r="95" spans="1:7" ht="12.75" customHeight="1">
      <c r="A95" s="396"/>
      <c r="B95" s="131" t="s">
        <v>333</v>
      </c>
      <c r="C95" s="132">
        <f>(0.18*H6)</f>
        <v>0.22499999999999998</v>
      </c>
      <c r="D95" s="132">
        <f>(0.85*I6)</f>
        <v>0.95200000000000007</v>
      </c>
      <c r="E95" s="133">
        <v>1</v>
      </c>
      <c r="F95" s="134">
        <f t="shared" si="2"/>
        <v>1.177</v>
      </c>
      <c r="G95" s="401"/>
    </row>
    <row r="96" spans="1:7" ht="12.75" customHeight="1">
      <c r="A96" s="397"/>
      <c r="B96" s="131" t="s">
        <v>334</v>
      </c>
      <c r="C96" s="132">
        <f>(4.34*H6)</f>
        <v>5.4249999999999998</v>
      </c>
      <c r="D96" s="132">
        <f>(9.12*I6)</f>
        <v>10.214399999999999</v>
      </c>
      <c r="E96" s="133">
        <v>1</v>
      </c>
      <c r="F96" s="134">
        <f t="shared" si="2"/>
        <v>15.639399999999998</v>
      </c>
      <c r="G96" s="401"/>
    </row>
    <row r="97" spans="1:7" ht="12.75" customHeight="1">
      <c r="A97" s="128"/>
      <c r="B97" s="393"/>
      <c r="C97" s="393"/>
      <c r="D97" s="393"/>
      <c r="E97" s="393"/>
      <c r="F97" s="393"/>
      <c r="G97" s="401"/>
    </row>
    <row r="98" spans="1:7" ht="15" customHeight="1">
      <c r="A98" s="135" t="s">
        <v>389</v>
      </c>
      <c r="B98" s="394" t="s">
        <v>398</v>
      </c>
      <c r="C98" s="394"/>
      <c r="D98" s="394"/>
      <c r="E98" s="394"/>
      <c r="F98" s="394"/>
      <c r="G98" s="401"/>
    </row>
    <row r="99" spans="1:7" ht="12.75" customHeight="1">
      <c r="A99" s="395"/>
      <c r="B99" s="131" t="s">
        <v>335</v>
      </c>
      <c r="C99" s="132">
        <f>(5.3*H6)</f>
        <v>6.625</v>
      </c>
      <c r="D99" s="132">
        <f>(15.85*I6)</f>
        <v>17.752000000000002</v>
      </c>
      <c r="E99" s="133">
        <v>1</v>
      </c>
      <c r="F99" s="134">
        <f t="shared" ref="F99:F111" si="3">(C99+D99)*E99</f>
        <v>24.377000000000002</v>
      </c>
      <c r="G99" s="401"/>
    </row>
    <row r="100" spans="1:7" ht="12.75" customHeight="1">
      <c r="A100" s="396"/>
      <c r="B100" s="131" t="s">
        <v>336</v>
      </c>
      <c r="C100" s="132">
        <f>(5.15*H6)</f>
        <v>6.4375</v>
      </c>
      <c r="D100" s="132">
        <f>(8.82*I6)</f>
        <v>9.878400000000001</v>
      </c>
      <c r="E100" s="133">
        <v>1</v>
      </c>
      <c r="F100" s="134">
        <f t="shared" si="3"/>
        <v>16.315899999999999</v>
      </c>
      <c r="G100" s="401"/>
    </row>
    <row r="101" spans="1:7" ht="12.75" customHeight="1">
      <c r="A101" s="396"/>
      <c r="B101" s="131" t="s">
        <v>399</v>
      </c>
      <c r="C101" s="132">
        <f>(17.31*H6)</f>
        <v>21.637499999999999</v>
      </c>
      <c r="D101" s="132">
        <f>(9.55*I6)</f>
        <v>10.696000000000002</v>
      </c>
      <c r="E101" s="133">
        <v>1</v>
      </c>
      <c r="F101" s="134">
        <f t="shared" si="3"/>
        <v>32.333500000000001</v>
      </c>
      <c r="G101" s="401"/>
    </row>
    <row r="102" spans="1:7" ht="12.75" customHeight="1">
      <c r="A102" s="396"/>
      <c r="B102" s="131" t="s">
        <v>338</v>
      </c>
      <c r="C102" s="132">
        <f>(47.91*H6)</f>
        <v>59.887499999999996</v>
      </c>
      <c r="D102" s="132">
        <f>(25.69*I6)</f>
        <v>28.772800000000004</v>
      </c>
      <c r="E102" s="133">
        <v>1</v>
      </c>
      <c r="F102" s="134">
        <f t="shared" si="3"/>
        <v>88.660300000000007</v>
      </c>
      <c r="G102" s="401"/>
    </row>
    <row r="103" spans="1:7" ht="12.75" customHeight="1">
      <c r="A103" s="396"/>
      <c r="B103" s="131" t="s">
        <v>339</v>
      </c>
      <c r="C103" s="132">
        <f>(24.73*H6)</f>
        <v>30.912500000000001</v>
      </c>
      <c r="D103" s="132">
        <f>(13.64*I6)</f>
        <v>15.276800000000001</v>
      </c>
      <c r="E103" s="133">
        <v>1</v>
      </c>
      <c r="F103" s="134">
        <f t="shared" si="3"/>
        <v>46.189300000000003</v>
      </c>
      <c r="G103" s="401"/>
    </row>
    <row r="104" spans="1:7" ht="12.75" customHeight="1">
      <c r="A104" s="396"/>
      <c r="B104" s="131" t="s">
        <v>340</v>
      </c>
      <c r="C104" s="132">
        <f>(3.46*H6)</f>
        <v>4.3250000000000002</v>
      </c>
      <c r="D104" s="132">
        <f>(1.91*I6)</f>
        <v>2.1392000000000002</v>
      </c>
      <c r="E104" s="133">
        <v>1</v>
      </c>
      <c r="F104" s="134">
        <f t="shared" si="3"/>
        <v>6.4641999999999999</v>
      </c>
      <c r="G104" s="401"/>
    </row>
    <row r="105" spans="1:7" ht="12.75" customHeight="1">
      <c r="A105" s="396"/>
      <c r="B105" s="131" t="s">
        <v>341</v>
      </c>
      <c r="C105" s="132">
        <f>(3.71*H6)</f>
        <v>4.6375000000000002</v>
      </c>
      <c r="D105" s="132">
        <f>(2.05*I6)</f>
        <v>2.2959999999999998</v>
      </c>
      <c r="E105" s="133">
        <v>1</v>
      </c>
      <c r="F105" s="134">
        <f t="shared" si="3"/>
        <v>6.9335000000000004</v>
      </c>
      <c r="G105" s="401"/>
    </row>
    <row r="106" spans="1:7" ht="12.75" customHeight="1">
      <c r="A106" s="396"/>
      <c r="B106" s="131" t="s">
        <v>342</v>
      </c>
      <c r="C106" s="132">
        <f>(1.85*H6)</f>
        <v>2.3125</v>
      </c>
      <c r="D106" s="132">
        <f>(1.02*I6)</f>
        <v>1.1424000000000001</v>
      </c>
      <c r="E106" s="133">
        <v>1</v>
      </c>
      <c r="F106" s="134">
        <f t="shared" si="3"/>
        <v>3.4549000000000003</v>
      </c>
      <c r="G106" s="401"/>
    </row>
    <row r="107" spans="1:7" ht="12.75" customHeight="1">
      <c r="A107" s="396"/>
      <c r="B107" s="131" t="s">
        <v>343</v>
      </c>
      <c r="C107" s="132">
        <f>(22.26*H6)</f>
        <v>27.825000000000003</v>
      </c>
      <c r="D107" s="132">
        <f>(12.28*I6)</f>
        <v>13.7536</v>
      </c>
      <c r="E107" s="133">
        <v>1</v>
      </c>
      <c r="F107" s="134">
        <f t="shared" si="3"/>
        <v>41.578600000000002</v>
      </c>
      <c r="G107" s="401"/>
    </row>
    <row r="108" spans="1:7" ht="12.75" customHeight="1">
      <c r="A108" s="396"/>
      <c r="B108" s="131" t="s">
        <v>344</v>
      </c>
      <c r="C108" s="132">
        <f>(8.27*H6)</f>
        <v>10.337499999999999</v>
      </c>
      <c r="D108" s="132">
        <f>(21.31*I6)</f>
        <v>23.8672</v>
      </c>
      <c r="E108" s="133">
        <v>1</v>
      </c>
      <c r="F108" s="134">
        <f t="shared" si="3"/>
        <v>34.204700000000003</v>
      </c>
      <c r="G108" s="401"/>
    </row>
    <row r="109" spans="1:7" ht="12.75" customHeight="1">
      <c r="A109" s="396"/>
      <c r="B109" s="131" t="s">
        <v>345</v>
      </c>
      <c r="C109" s="132">
        <f>(9.89*H6)</f>
        <v>12.362500000000001</v>
      </c>
      <c r="D109" s="132">
        <f>(5.46*I6)</f>
        <v>6.1152000000000006</v>
      </c>
      <c r="E109" s="133">
        <v>1</v>
      </c>
      <c r="F109" s="134">
        <f t="shared" si="3"/>
        <v>18.477700000000002</v>
      </c>
      <c r="G109" s="401"/>
    </row>
    <row r="110" spans="1:7" ht="12.75" customHeight="1">
      <c r="A110" s="396"/>
      <c r="B110" s="131" t="s">
        <v>346</v>
      </c>
      <c r="C110" s="132">
        <f>(9.89*H6)</f>
        <v>12.362500000000001</v>
      </c>
      <c r="D110" s="132">
        <f>(5.46*I6)</f>
        <v>6.1152000000000006</v>
      </c>
      <c r="E110" s="133">
        <v>1</v>
      </c>
      <c r="F110" s="134">
        <f t="shared" si="3"/>
        <v>18.477700000000002</v>
      </c>
      <c r="G110" s="401"/>
    </row>
    <row r="111" spans="1:7" ht="12.75" customHeight="1">
      <c r="A111" s="397"/>
      <c r="B111" s="131" t="s">
        <v>347</v>
      </c>
      <c r="C111" s="132">
        <f>(3.71*H6)</f>
        <v>4.6375000000000002</v>
      </c>
      <c r="D111" s="132">
        <f>(2.1*I6)</f>
        <v>2.3520000000000003</v>
      </c>
      <c r="E111" s="133">
        <v>1</v>
      </c>
      <c r="F111" s="134">
        <f t="shared" si="3"/>
        <v>6.9895000000000005</v>
      </c>
      <c r="G111" s="401"/>
    </row>
    <row r="112" spans="1:7" ht="12.75" customHeight="1">
      <c r="A112" s="128"/>
      <c r="B112" s="393"/>
      <c r="C112" s="393"/>
      <c r="D112" s="393"/>
      <c r="E112" s="393"/>
      <c r="F112" s="393"/>
      <c r="G112" s="401"/>
    </row>
    <row r="113" spans="1:7" ht="15" customHeight="1">
      <c r="A113" s="135" t="s">
        <v>389</v>
      </c>
      <c r="B113" s="394" t="s">
        <v>400</v>
      </c>
      <c r="C113" s="394"/>
      <c r="D113" s="394"/>
      <c r="E113" s="394"/>
      <c r="F113" s="394"/>
      <c r="G113" s="401"/>
    </row>
    <row r="114" spans="1:7" ht="12.75" customHeight="1">
      <c r="A114" s="398"/>
      <c r="B114" s="131" t="s">
        <v>348</v>
      </c>
      <c r="C114" s="132">
        <f>(1.47*H6)</f>
        <v>1.8374999999999999</v>
      </c>
      <c r="D114" s="132">
        <f>(4.48*I6)</f>
        <v>5.0176000000000007</v>
      </c>
      <c r="E114" s="133">
        <v>1</v>
      </c>
      <c r="F114" s="134">
        <f>(C114+D114)*E114</f>
        <v>6.8551000000000002</v>
      </c>
      <c r="G114" s="401"/>
    </row>
    <row r="115" spans="1:7" ht="12.75" customHeight="1">
      <c r="A115" s="398"/>
      <c r="B115" s="131" t="s">
        <v>349</v>
      </c>
      <c r="C115" s="132">
        <f>(3.91*H6)</f>
        <v>4.8875000000000002</v>
      </c>
      <c r="D115" s="132">
        <f>(11.94*I6)</f>
        <v>13.372800000000002</v>
      </c>
      <c r="E115" s="133">
        <v>1</v>
      </c>
      <c r="F115" s="134">
        <f>(C115+D115)*E115</f>
        <v>18.260300000000001</v>
      </c>
      <c r="G115" s="401"/>
    </row>
    <row r="116" spans="1:7" ht="12.75" customHeight="1">
      <c r="A116" s="128"/>
      <c r="B116" s="393"/>
      <c r="C116" s="393"/>
      <c r="D116" s="393"/>
      <c r="E116" s="393"/>
      <c r="F116" s="393"/>
      <c r="G116" s="401"/>
    </row>
    <row r="117" spans="1:7" ht="15" customHeight="1">
      <c r="A117" s="135" t="s">
        <v>389</v>
      </c>
      <c r="B117" s="394" t="s">
        <v>401</v>
      </c>
      <c r="C117" s="394"/>
      <c r="D117" s="394"/>
      <c r="E117" s="394"/>
      <c r="F117" s="394"/>
      <c r="G117" s="401"/>
    </row>
    <row r="118" spans="1:7" ht="12.75" customHeight="1">
      <c r="A118" s="398"/>
      <c r="B118" s="131" t="s">
        <v>350</v>
      </c>
      <c r="C118" s="132">
        <f>(3.04*H6)</f>
        <v>3.8</v>
      </c>
      <c r="D118" s="132">
        <f>(4.26*I6)</f>
        <v>4.7712000000000003</v>
      </c>
      <c r="E118" s="133">
        <v>1</v>
      </c>
      <c r="F118" s="134">
        <f>(C118+D118)*E118</f>
        <v>8.571200000000001</v>
      </c>
      <c r="G118" s="401"/>
    </row>
    <row r="119" spans="1:7" ht="12.75" customHeight="1">
      <c r="A119" s="398"/>
      <c r="B119" s="393"/>
      <c r="C119" s="393"/>
      <c r="D119" s="393"/>
      <c r="E119" s="393"/>
      <c r="F119" s="393"/>
      <c r="G119" s="401"/>
    </row>
    <row r="120" spans="1:7" ht="15" customHeight="1">
      <c r="A120" s="135" t="s">
        <v>389</v>
      </c>
      <c r="B120" s="394" t="s">
        <v>402</v>
      </c>
      <c r="C120" s="394"/>
      <c r="D120" s="394"/>
      <c r="E120" s="394"/>
      <c r="F120" s="394"/>
      <c r="G120" s="401"/>
    </row>
    <row r="121" spans="1:7" ht="12.75" customHeight="1">
      <c r="A121" s="395"/>
      <c r="B121" s="131" t="s">
        <v>351</v>
      </c>
      <c r="C121" s="132">
        <f>(2.84*H6)</f>
        <v>3.55</v>
      </c>
      <c r="D121" s="132">
        <f>(5.8*I6)</f>
        <v>6.4960000000000004</v>
      </c>
      <c r="E121" s="133">
        <v>1</v>
      </c>
      <c r="F121" s="134">
        <f>(C121+D121)*E121</f>
        <v>10.045999999999999</v>
      </c>
      <c r="G121" s="401"/>
    </row>
    <row r="122" spans="1:7" ht="12.75" customHeight="1">
      <c r="A122" s="396"/>
      <c r="B122" s="131" t="s">
        <v>352</v>
      </c>
      <c r="C122" s="132">
        <f>(1.86*H6)</f>
        <v>2.3250000000000002</v>
      </c>
      <c r="D122" s="132">
        <f>(4.26*I6)</f>
        <v>4.7712000000000003</v>
      </c>
      <c r="E122" s="133">
        <v>1</v>
      </c>
      <c r="F122" s="134">
        <f>(C122+D122)*E122</f>
        <v>7.0962000000000005</v>
      </c>
      <c r="G122" s="401"/>
    </row>
    <row r="123" spans="1:7" ht="12.75" customHeight="1">
      <c r="A123" s="396"/>
      <c r="B123" s="131" t="s">
        <v>353</v>
      </c>
      <c r="C123" s="132">
        <f>(0.56*H6)</f>
        <v>0.70000000000000007</v>
      </c>
      <c r="D123" s="132">
        <f>(1.28*I6)</f>
        <v>1.4336000000000002</v>
      </c>
      <c r="E123" s="133">
        <v>1</v>
      </c>
      <c r="F123" s="134">
        <f>(C123+D123)*E123</f>
        <v>2.1336000000000004</v>
      </c>
      <c r="G123" s="401"/>
    </row>
    <row r="124" spans="1:7" ht="12.75" customHeight="1">
      <c r="A124" s="397"/>
      <c r="B124" s="131" t="s">
        <v>354</v>
      </c>
      <c r="C124" s="132">
        <f>(1.09*H6)</f>
        <v>1.3625</v>
      </c>
      <c r="D124" s="132">
        <f>(2.22*I6)</f>
        <v>2.4864000000000006</v>
      </c>
      <c r="E124" s="133">
        <v>1</v>
      </c>
      <c r="F124" s="134">
        <f>(C124+D124)*E124</f>
        <v>3.8489000000000004</v>
      </c>
      <c r="G124" s="401"/>
    </row>
    <row r="125" spans="1:7" ht="12.75" customHeight="1">
      <c r="A125" s="128"/>
      <c r="B125" s="393"/>
      <c r="C125" s="393"/>
      <c r="D125" s="393"/>
      <c r="E125" s="393"/>
      <c r="F125" s="393"/>
      <c r="G125" s="401"/>
    </row>
    <row r="126" spans="1:7" ht="15" customHeight="1">
      <c r="A126" s="135" t="s">
        <v>389</v>
      </c>
      <c r="B126" s="394" t="s">
        <v>403</v>
      </c>
      <c r="C126" s="394"/>
      <c r="D126" s="394"/>
      <c r="E126" s="394"/>
      <c r="F126" s="394"/>
      <c r="G126" s="401"/>
    </row>
    <row r="127" spans="1:7" ht="12.75" customHeight="1">
      <c r="A127" s="395"/>
      <c r="B127" s="131" t="s">
        <v>355</v>
      </c>
      <c r="C127" s="132">
        <f>(0.44*H6)</f>
        <v>0.55000000000000004</v>
      </c>
      <c r="D127" s="132">
        <f>(1.36*I6)</f>
        <v>1.5232000000000003</v>
      </c>
      <c r="E127" s="133">
        <v>1</v>
      </c>
      <c r="F127" s="134">
        <f>(C127+D127)*E127</f>
        <v>2.0732000000000004</v>
      </c>
      <c r="G127" s="401"/>
    </row>
    <row r="128" spans="1:7" ht="12.75" customHeight="1">
      <c r="A128" s="396"/>
      <c r="B128" s="131" t="s">
        <v>356</v>
      </c>
      <c r="C128" s="132">
        <f>(1.47*H6)</f>
        <v>1.8374999999999999</v>
      </c>
      <c r="D128" s="132">
        <f>(2.02*I6)</f>
        <v>2.2624000000000004</v>
      </c>
      <c r="E128" s="133">
        <v>1</v>
      </c>
      <c r="F128" s="134">
        <f>(C128+D128)*E128</f>
        <v>4.0998999999999999</v>
      </c>
      <c r="G128" s="401"/>
    </row>
    <row r="129" spans="1:7" ht="12.75" customHeight="1">
      <c r="A129" s="396"/>
      <c r="B129" s="131" t="s">
        <v>357</v>
      </c>
      <c r="C129" s="132">
        <f>(2.94*H6)</f>
        <v>3.6749999999999998</v>
      </c>
      <c r="D129" s="132">
        <f>(4.03*I6)</f>
        <v>4.5136000000000003</v>
      </c>
      <c r="E129" s="133">
        <v>1</v>
      </c>
      <c r="F129" s="134">
        <f>(C129+D129)*E129</f>
        <v>8.188600000000001</v>
      </c>
      <c r="G129" s="401"/>
    </row>
    <row r="130" spans="1:7" ht="12.75" customHeight="1">
      <c r="A130" s="396"/>
      <c r="B130" s="131" t="s">
        <v>358</v>
      </c>
      <c r="C130" s="132">
        <f>(3.92*H6)</f>
        <v>4.9000000000000004</v>
      </c>
      <c r="D130" s="132">
        <f>(5.38*I6)</f>
        <v>6.0256000000000007</v>
      </c>
      <c r="E130" s="133">
        <v>1</v>
      </c>
      <c r="F130" s="134">
        <f>(C130+D130)*E130</f>
        <v>10.925600000000001</v>
      </c>
      <c r="G130" s="401"/>
    </row>
    <row r="131" spans="1:7" ht="12.75" customHeight="1">
      <c r="A131" s="397"/>
      <c r="B131" s="131" t="s">
        <v>92</v>
      </c>
      <c r="C131" s="132">
        <f>(5.39*H6)</f>
        <v>6.7374999999999998</v>
      </c>
      <c r="D131" s="132">
        <f>(7.4*I6)</f>
        <v>8.288000000000002</v>
      </c>
      <c r="E131" s="133">
        <v>1</v>
      </c>
      <c r="F131" s="134">
        <f>(C131+D131)*E131</f>
        <v>15.025500000000001</v>
      </c>
      <c r="G131" s="401"/>
    </row>
    <row r="132" spans="1:7" ht="12.75" customHeight="1">
      <c r="A132" s="128"/>
      <c r="B132" s="393"/>
      <c r="C132" s="393"/>
      <c r="D132" s="393"/>
      <c r="E132" s="393"/>
      <c r="F132" s="393"/>
      <c r="G132" s="401"/>
    </row>
    <row r="133" spans="1:7" ht="15" customHeight="1">
      <c r="A133" s="135" t="s">
        <v>389</v>
      </c>
      <c r="B133" s="394" t="s">
        <v>404</v>
      </c>
      <c r="C133" s="394"/>
      <c r="D133" s="394"/>
      <c r="E133" s="394"/>
      <c r="F133" s="394"/>
      <c r="G133" s="401"/>
    </row>
    <row r="134" spans="1:7" ht="15" customHeight="1">
      <c r="A134" s="395"/>
      <c r="B134" s="131" t="s">
        <v>359</v>
      </c>
      <c r="C134" s="132">
        <f>(6.53*H6)</f>
        <v>8.1624999999999996</v>
      </c>
      <c r="D134" s="132">
        <f>(1.36*I6)</f>
        <v>1.5232000000000003</v>
      </c>
      <c r="E134" s="133">
        <v>1</v>
      </c>
      <c r="F134" s="134">
        <f t="shared" ref="F134:F154" si="4">(C134+D134)*E134</f>
        <v>9.6857000000000006</v>
      </c>
      <c r="G134" s="401"/>
    </row>
    <row r="135" spans="1:7" ht="15" customHeight="1">
      <c r="A135" s="396"/>
      <c r="B135" s="131" t="s">
        <v>360</v>
      </c>
      <c r="C135" s="132">
        <f>(8.84*H6)</f>
        <v>11.05</v>
      </c>
      <c r="D135" s="132">
        <f>(1.78*I6)</f>
        <v>1.9936000000000003</v>
      </c>
      <c r="E135" s="133">
        <v>1</v>
      </c>
      <c r="F135" s="134">
        <f t="shared" si="4"/>
        <v>13.043600000000001</v>
      </c>
      <c r="G135" s="401"/>
    </row>
    <row r="136" spans="1:7" ht="15" customHeight="1">
      <c r="A136" s="396"/>
      <c r="B136" s="131" t="s">
        <v>361</v>
      </c>
      <c r="C136" s="132">
        <f>(9.05*H6)</f>
        <v>11.3125</v>
      </c>
      <c r="D136" s="132">
        <f>(1.76*I6)</f>
        <v>1.9712000000000003</v>
      </c>
      <c r="E136" s="133">
        <v>1</v>
      </c>
      <c r="F136" s="134">
        <f t="shared" si="4"/>
        <v>13.2837</v>
      </c>
      <c r="G136" s="401"/>
    </row>
    <row r="137" spans="1:7" ht="15" customHeight="1">
      <c r="A137" s="396"/>
      <c r="B137" s="131" t="s">
        <v>362</v>
      </c>
      <c r="C137" s="132">
        <f>(10.68*H6)</f>
        <v>13.35</v>
      </c>
      <c r="D137" s="132">
        <f>(2.55*I6)</f>
        <v>2.8559999999999999</v>
      </c>
      <c r="E137" s="133">
        <v>1</v>
      </c>
      <c r="F137" s="134">
        <f t="shared" si="4"/>
        <v>16.206</v>
      </c>
      <c r="G137" s="401"/>
    </row>
    <row r="138" spans="1:7" ht="15" customHeight="1">
      <c r="A138" s="396"/>
      <c r="B138" s="131" t="s">
        <v>363</v>
      </c>
      <c r="C138" s="132">
        <f>(14.25*H6)</f>
        <v>17.8125</v>
      </c>
      <c r="D138" s="132">
        <f>(2.8*I6)</f>
        <v>3.1360000000000001</v>
      </c>
      <c r="E138" s="133">
        <v>1</v>
      </c>
      <c r="F138" s="134">
        <f t="shared" si="4"/>
        <v>20.948499999999999</v>
      </c>
      <c r="G138" s="401"/>
    </row>
    <row r="139" spans="1:7" ht="15" customHeight="1">
      <c r="A139" s="396"/>
      <c r="B139" s="131" t="s">
        <v>364</v>
      </c>
      <c r="C139" s="132">
        <f>(15.84*H6)</f>
        <v>19.8</v>
      </c>
      <c r="D139" s="132">
        <f>(3.53*I6)</f>
        <v>3.9536000000000002</v>
      </c>
      <c r="E139" s="133">
        <v>1</v>
      </c>
      <c r="F139" s="134">
        <f t="shared" si="4"/>
        <v>23.753600000000002</v>
      </c>
      <c r="G139" s="401"/>
    </row>
    <row r="140" spans="1:7" ht="15" customHeight="1">
      <c r="A140" s="396"/>
      <c r="B140" s="131" t="s">
        <v>365</v>
      </c>
      <c r="C140" s="132">
        <f>(18.31*H6)</f>
        <v>22.887499999999999</v>
      </c>
      <c r="D140" s="132">
        <f>(3.84*I6)</f>
        <v>4.3008000000000006</v>
      </c>
      <c r="E140" s="133">
        <v>1</v>
      </c>
      <c r="F140" s="134">
        <f t="shared" si="4"/>
        <v>27.188299999999998</v>
      </c>
      <c r="G140" s="401"/>
    </row>
    <row r="141" spans="1:7" ht="15" customHeight="1">
      <c r="A141" s="396"/>
      <c r="B141" s="131" t="s">
        <v>366</v>
      </c>
      <c r="C141" s="132">
        <f>(19.5*H6)</f>
        <v>24.375</v>
      </c>
      <c r="D141" s="132">
        <f>(3.93*I6)</f>
        <v>4.4016000000000002</v>
      </c>
      <c r="E141" s="133">
        <v>1</v>
      </c>
      <c r="F141" s="134">
        <f t="shared" si="4"/>
        <v>28.776600000000002</v>
      </c>
      <c r="G141" s="401"/>
    </row>
    <row r="142" spans="1:7" ht="15" customHeight="1">
      <c r="A142" s="396"/>
      <c r="B142" s="131" t="s">
        <v>367</v>
      </c>
      <c r="C142" s="132">
        <f>(20.82*H6)</f>
        <v>26.024999999999999</v>
      </c>
      <c r="D142" s="132">
        <f>(4.21*I6)</f>
        <v>4.7152000000000003</v>
      </c>
      <c r="E142" s="133">
        <v>1</v>
      </c>
      <c r="F142" s="134">
        <f t="shared" si="4"/>
        <v>30.740199999999998</v>
      </c>
      <c r="G142" s="401"/>
    </row>
    <row r="143" spans="1:7" ht="15" customHeight="1">
      <c r="A143" s="396"/>
      <c r="B143" s="131" t="s">
        <v>368</v>
      </c>
      <c r="C143" s="132">
        <f>(22.09*H6)</f>
        <v>27.612500000000001</v>
      </c>
      <c r="D143" s="132">
        <f>(4.44*I6)</f>
        <v>4.9728000000000012</v>
      </c>
      <c r="E143" s="133">
        <v>1</v>
      </c>
      <c r="F143" s="134">
        <f t="shared" si="4"/>
        <v>32.585300000000004</v>
      </c>
      <c r="G143" s="401"/>
    </row>
    <row r="144" spans="1:7" ht="15" customHeight="1">
      <c r="A144" s="396"/>
      <c r="B144" s="131" t="s">
        <v>369</v>
      </c>
      <c r="C144" s="132">
        <f>(24.84*H6)</f>
        <v>31.05</v>
      </c>
      <c r="D144" s="132">
        <f>(5.2*I6)</f>
        <v>5.8240000000000007</v>
      </c>
      <c r="E144" s="133">
        <v>1</v>
      </c>
      <c r="F144" s="134">
        <f t="shared" si="4"/>
        <v>36.874000000000002</v>
      </c>
      <c r="G144" s="401"/>
    </row>
    <row r="145" spans="1:7" ht="15" customHeight="1">
      <c r="A145" s="396"/>
      <c r="B145" s="131" t="s">
        <v>94</v>
      </c>
      <c r="C145" s="132">
        <f>(26.3*H6)</f>
        <v>32.875</v>
      </c>
      <c r="D145" s="132">
        <f>(5.73*I6)</f>
        <v>6.4176000000000011</v>
      </c>
      <c r="E145" s="133">
        <v>1</v>
      </c>
      <c r="F145" s="134">
        <f t="shared" si="4"/>
        <v>39.2926</v>
      </c>
      <c r="G145" s="401"/>
    </row>
    <row r="146" spans="1:7" ht="15" customHeight="1">
      <c r="A146" s="396"/>
      <c r="B146" s="131" t="s">
        <v>370</v>
      </c>
      <c r="C146" s="132">
        <f>(28.65*H6)</f>
        <v>35.8125</v>
      </c>
      <c r="D146" s="132">
        <f>(5.83*I6)</f>
        <v>6.5296000000000003</v>
      </c>
      <c r="E146" s="133">
        <v>1</v>
      </c>
      <c r="F146" s="134">
        <f t="shared" si="4"/>
        <v>42.342100000000002</v>
      </c>
      <c r="G146" s="401"/>
    </row>
    <row r="147" spans="1:7" ht="15" customHeight="1">
      <c r="A147" s="396"/>
      <c r="B147" s="131" t="s">
        <v>371</v>
      </c>
      <c r="C147" s="132">
        <f>(32.48*H6)</f>
        <v>40.599999999999994</v>
      </c>
      <c r="D147" s="132">
        <f>(6.5*I6)</f>
        <v>7.2800000000000011</v>
      </c>
      <c r="E147" s="133">
        <v>1</v>
      </c>
      <c r="F147" s="134">
        <f t="shared" si="4"/>
        <v>47.879999999999995</v>
      </c>
      <c r="G147" s="401"/>
    </row>
    <row r="148" spans="1:7" ht="15" customHeight="1">
      <c r="A148" s="396"/>
      <c r="B148" s="131" t="s">
        <v>372</v>
      </c>
      <c r="C148" s="132">
        <f>(33.72*H6)</f>
        <v>42.15</v>
      </c>
      <c r="D148" s="132">
        <f>(6.68*I6)</f>
        <v>7.4816000000000003</v>
      </c>
      <c r="E148" s="133">
        <v>1</v>
      </c>
      <c r="F148" s="134">
        <f t="shared" si="4"/>
        <v>49.631599999999999</v>
      </c>
      <c r="G148" s="401"/>
    </row>
    <row r="149" spans="1:7" ht="15" customHeight="1">
      <c r="A149" s="396"/>
      <c r="B149" s="131" t="s">
        <v>373</v>
      </c>
      <c r="C149" s="132">
        <f>(36.23*H6)</f>
        <v>45.287499999999994</v>
      </c>
      <c r="D149" s="132">
        <f>(7.05*I6)</f>
        <v>7.8960000000000008</v>
      </c>
      <c r="E149" s="133">
        <v>1</v>
      </c>
      <c r="F149" s="134">
        <f t="shared" si="4"/>
        <v>53.183499999999995</v>
      </c>
      <c r="G149" s="401"/>
    </row>
    <row r="150" spans="1:7" ht="15" customHeight="1">
      <c r="A150" s="396"/>
      <c r="B150" s="131" t="s">
        <v>374</v>
      </c>
      <c r="C150" s="132">
        <f>(38.73*H6)</f>
        <v>48.412499999999994</v>
      </c>
      <c r="D150" s="132">
        <f>(7.41*I6)</f>
        <v>8.2992000000000008</v>
      </c>
      <c r="E150" s="133">
        <v>1</v>
      </c>
      <c r="F150" s="134">
        <f t="shared" si="4"/>
        <v>56.711699999999993</v>
      </c>
      <c r="G150" s="401"/>
    </row>
    <row r="151" spans="1:7" ht="15" customHeight="1">
      <c r="A151" s="396"/>
      <c r="B151" s="131" t="s">
        <v>375</v>
      </c>
      <c r="C151" s="132">
        <f>(41.61*H6)</f>
        <v>52.012500000000003</v>
      </c>
      <c r="D151" s="132">
        <f>(8.39*I6)</f>
        <v>9.3968000000000007</v>
      </c>
      <c r="E151" s="133">
        <v>1</v>
      </c>
      <c r="F151" s="134">
        <f t="shared" si="4"/>
        <v>61.409300000000002</v>
      </c>
      <c r="G151" s="401"/>
    </row>
    <row r="152" spans="1:7" ht="15" customHeight="1">
      <c r="A152" s="396"/>
      <c r="B152" s="131" t="s">
        <v>376</v>
      </c>
      <c r="C152" s="132">
        <f>(44.11*H6)</f>
        <v>55.137500000000003</v>
      </c>
      <c r="D152" s="132">
        <f>(8.75*I6)</f>
        <v>9.8000000000000007</v>
      </c>
      <c r="E152" s="133">
        <v>1</v>
      </c>
      <c r="F152" s="134">
        <f t="shared" si="4"/>
        <v>64.9375</v>
      </c>
      <c r="G152" s="401"/>
    </row>
    <row r="153" spans="1:7" ht="15" customHeight="1">
      <c r="A153" s="396"/>
      <c r="B153" s="131" t="s">
        <v>101</v>
      </c>
      <c r="C153" s="132">
        <f>(46.65*H6)</f>
        <v>58.3125</v>
      </c>
      <c r="D153" s="132">
        <f>(9.17*I6)</f>
        <v>10.2704</v>
      </c>
      <c r="E153" s="133">
        <v>1</v>
      </c>
      <c r="F153" s="134">
        <f t="shared" si="4"/>
        <v>68.582899999999995</v>
      </c>
      <c r="G153" s="401"/>
    </row>
    <row r="154" spans="1:7" ht="12.75" customHeight="1">
      <c r="A154" s="397"/>
      <c r="B154" s="131" t="s">
        <v>103</v>
      </c>
      <c r="C154" s="132">
        <f>(54.72*H6)</f>
        <v>68.400000000000006</v>
      </c>
      <c r="D154" s="132">
        <f>(11.18*I6)</f>
        <v>12.521600000000001</v>
      </c>
      <c r="E154" s="133">
        <v>1</v>
      </c>
      <c r="F154" s="134">
        <f t="shared" si="4"/>
        <v>80.921600000000012</v>
      </c>
      <c r="G154" s="401"/>
    </row>
    <row r="155" spans="1:7" ht="12.75" customHeight="1">
      <c r="A155" s="128"/>
      <c r="B155" s="393"/>
      <c r="C155" s="393"/>
      <c r="D155" s="393"/>
      <c r="E155" s="393"/>
      <c r="F155" s="393"/>
      <c r="G155" s="401"/>
    </row>
    <row r="156" spans="1:7" ht="15" customHeight="1">
      <c r="A156" s="135" t="s">
        <v>389</v>
      </c>
      <c r="B156" s="394" t="s">
        <v>405</v>
      </c>
      <c r="C156" s="394"/>
      <c r="D156" s="394"/>
      <c r="E156" s="394"/>
      <c r="F156" s="394"/>
      <c r="G156" s="401"/>
    </row>
    <row r="157" spans="1:7" ht="12.75" customHeight="1">
      <c r="A157" s="395"/>
      <c r="B157" s="131" t="s">
        <v>377</v>
      </c>
      <c r="C157" s="132">
        <f>(57.37*H6)</f>
        <v>71.712499999999991</v>
      </c>
      <c r="D157" s="132">
        <f>(23*I6)</f>
        <v>25.76</v>
      </c>
      <c r="E157" s="133">
        <v>1</v>
      </c>
      <c r="F157" s="134">
        <f t="shared" ref="F157:F162" si="5">(C157+D157)*E157</f>
        <v>97.472499999999997</v>
      </c>
      <c r="G157" s="401"/>
    </row>
    <row r="158" spans="1:7" ht="12.75" customHeight="1">
      <c r="A158" s="396"/>
      <c r="B158" s="131" t="s">
        <v>378</v>
      </c>
      <c r="C158" s="132">
        <f>(8.24*H6)</f>
        <v>10.3</v>
      </c>
      <c r="D158" s="132">
        <f>(0.53*I6)</f>
        <v>0.59360000000000013</v>
      </c>
      <c r="E158" s="133">
        <v>1</v>
      </c>
      <c r="F158" s="134">
        <f t="shared" si="5"/>
        <v>10.893600000000001</v>
      </c>
      <c r="G158" s="401"/>
    </row>
    <row r="159" spans="1:7" ht="12.75" customHeight="1">
      <c r="A159" s="396"/>
      <c r="B159" s="131" t="s">
        <v>379</v>
      </c>
      <c r="C159" s="132">
        <f>(26.24*H6)</f>
        <v>32.799999999999997</v>
      </c>
      <c r="D159" s="132">
        <f>(11.17*I6)</f>
        <v>12.510400000000001</v>
      </c>
      <c r="E159" s="133">
        <v>1</v>
      </c>
      <c r="F159" s="134">
        <f t="shared" si="5"/>
        <v>45.310400000000001</v>
      </c>
      <c r="G159" s="401"/>
    </row>
    <row r="160" spans="1:7" ht="12.75" customHeight="1">
      <c r="A160" s="396"/>
      <c r="B160" s="131" t="s">
        <v>380</v>
      </c>
      <c r="C160" s="132">
        <f>(57.75*H6)</f>
        <v>72.1875</v>
      </c>
      <c r="D160" s="132">
        <f>(12.66*I6)</f>
        <v>14.179200000000002</v>
      </c>
      <c r="E160" s="133">
        <v>1</v>
      </c>
      <c r="F160" s="134">
        <f t="shared" si="5"/>
        <v>86.366700000000009</v>
      </c>
      <c r="G160" s="401"/>
    </row>
    <row r="161" spans="1:7" ht="12.75" customHeight="1">
      <c r="A161" s="396"/>
      <c r="B161" s="131" t="s">
        <v>381</v>
      </c>
      <c r="C161" s="132">
        <f>(81.99*H6)</f>
        <v>102.4875</v>
      </c>
      <c r="D161" s="132">
        <f>(17.73*I6)</f>
        <v>19.857600000000001</v>
      </c>
      <c r="E161" s="133">
        <v>1</v>
      </c>
      <c r="F161" s="134">
        <f t="shared" si="5"/>
        <v>122.3451</v>
      </c>
      <c r="G161" s="401"/>
    </row>
    <row r="162" spans="1:7" ht="12.75" customHeight="1">
      <c r="A162" s="397"/>
      <c r="B162" s="131" t="s">
        <v>382</v>
      </c>
      <c r="C162" s="132">
        <f>(85.87*H6)</f>
        <v>107.33750000000001</v>
      </c>
      <c r="D162" s="132">
        <f>(19.22*I6)</f>
        <v>21.526400000000002</v>
      </c>
      <c r="E162" s="133">
        <v>1</v>
      </c>
      <c r="F162" s="134">
        <f t="shared" si="5"/>
        <v>128.8639</v>
      </c>
      <c r="G162" s="401"/>
    </row>
    <row r="163" spans="1:7" ht="12.75" customHeight="1">
      <c r="A163" s="128"/>
      <c r="B163" s="393"/>
      <c r="C163" s="393"/>
      <c r="D163" s="393"/>
      <c r="E163" s="393"/>
      <c r="F163" s="393"/>
      <c r="G163" s="401"/>
    </row>
    <row r="164" spans="1:7" ht="15" customHeight="1">
      <c r="A164" s="135" t="s">
        <v>389</v>
      </c>
      <c r="B164" s="394" t="s">
        <v>406</v>
      </c>
      <c r="C164" s="394"/>
      <c r="D164" s="394"/>
      <c r="E164" s="394"/>
      <c r="F164" s="394"/>
      <c r="G164" s="401"/>
    </row>
    <row r="165" spans="1:7" ht="12.75" customHeight="1">
      <c r="A165" s="395"/>
      <c r="B165" s="131" t="s">
        <v>145</v>
      </c>
      <c r="C165" s="132">
        <f>(1.62*H6)</f>
        <v>2.0250000000000004</v>
      </c>
      <c r="D165" s="132">
        <f>(6.33*I6)</f>
        <v>7.0896000000000008</v>
      </c>
      <c r="E165" s="133">
        <v>1</v>
      </c>
      <c r="F165" s="134">
        <f>(C165+D165)*E165</f>
        <v>9.1146000000000011</v>
      </c>
      <c r="G165" s="401"/>
    </row>
    <row r="166" spans="1:7" ht="12.75" customHeight="1">
      <c r="A166" s="396"/>
      <c r="B166" s="131" t="s">
        <v>383</v>
      </c>
      <c r="C166" s="132">
        <f>(0.35*H6)</f>
        <v>0.4375</v>
      </c>
      <c r="D166" s="132">
        <f>(1.36*I6)</f>
        <v>1.5232000000000003</v>
      </c>
      <c r="E166" s="133">
        <v>1</v>
      </c>
      <c r="F166" s="134">
        <f>(C166+D166)*E166</f>
        <v>1.9607000000000003</v>
      </c>
      <c r="G166" s="401"/>
    </row>
    <row r="167" spans="1:7" ht="12.75" customHeight="1">
      <c r="A167" s="396"/>
      <c r="B167" s="131" t="s">
        <v>88</v>
      </c>
      <c r="C167" s="132">
        <f>(0.28*H6)</f>
        <v>0.35000000000000003</v>
      </c>
      <c r="D167" s="132">
        <f>(1.09*I6)</f>
        <v>1.2208000000000001</v>
      </c>
      <c r="E167" s="133">
        <v>1</v>
      </c>
      <c r="F167" s="134">
        <f>(C167+D167)*E167</f>
        <v>1.5708000000000002</v>
      </c>
      <c r="G167" s="401"/>
    </row>
    <row r="168" spans="1:7" ht="12.75" customHeight="1">
      <c r="A168" s="397"/>
      <c r="B168" s="131" t="s">
        <v>384</v>
      </c>
      <c r="C168" s="132">
        <f>(0.25*H6)</f>
        <v>0.3125</v>
      </c>
      <c r="D168" s="132">
        <f>(0.57*I6)</f>
        <v>0.63839999999999997</v>
      </c>
      <c r="E168" s="133">
        <v>1</v>
      </c>
      <c r="F168" s="134">
        <f>(C168+D168)*E168</f>
        <v>0.95089999999999997</v>
      </c>
      <c r="G168" s="401"/>
    </row>
    <row r="169" spans="1:7" ht="12.75" customHeight="1">
      <c r="A169" s="125"/>
      <c r="B169" s="392"/>
      <c r="C169" s="392"/>
      <c r="D169" s="392"/>
      <c r="E169" s="392"/>
      <c r="F169" s="392"/>
      <c r="G169" s="401"/>
    </row>
  </sheetData>
  <mergeCells count="59">
    <mergeCell ref="A10:A12"/>
    <mergeCell ref="B1:F1"/>
    <mergeCell ref="G1:G169"/>
    <mergeCell ref="H1:I1"/>
    <mergeCell ref="B2:F2"/>
    <mergeCell ref="H2:I3"/>
    <mergeCell ref="A3:A4"/>
    <mergeCell ref="B3:B4"/>
    <mergeCell ref="C3:D3"/>
    <mergeCell ref="E3:F3"/>
    <mergeCell ref="H4:I4"/>
    <mergeCell ref="B5:F5"/>
    <mergeCell ref="B6:F6"/>
    <mergeCell ref="A7:A8"/>
    <mergeCell ref="B8:F8"/>
    <mergeCell ref="B9:F9"/>
    <mergeCell ref="A45:A51"/>
    <mergeCell ref="B13:F13"/>
    <mergeCell ref="B14:F14"/>
    <mergeCell ref="A15:A31"/>
    <mergeCell ref="B32:F32"/>
    <mergeCell ref="B33:F33"/>
    <mergeCell ref="A34:A38"/>
    <mergeCell ref="B39:F39"/>
    <mergeCell ref="B40:F40"/>
    <mergeCell ref="A41:A42"/>
    <mergeCell ref="B43:F43"/>
    <mergeCell ref="B44:F44"/>
    <mergeCell ref="A114:A115"/>
    <mergeCell ref="B52:F52"/>
    <mergeCell ref="B53:F53"/>
    <mergeCell ref="A54:A55"/>
    <mergeCell ref="B56:F56"/>
    <mergeCell ref="B57:F57"/>
    <mergeCell ref="A58:A96"/>
    <mergeCell ref="B97:F97"/>
    <mergeCell ref="B98:F98"/>
    <mergeCell ref="A99:A111"/>
    <mergeCell ref="B112:F112"/>
    <mergeCell ref="B113:F113"/>
    <mergeCell ref="A134:A154"/>
    <mergeCell ref="B116:F116"/>
    <mergeCell ref="B117:F117"/>
    <mergeCell ref="A118:A119"/>
    <mergeCell ref="B119:F119"/>
    <mergeCell ref="B120:F120"/>
    <mergeCell ref="A121:A124"/>
    <mergeCell ref="B125:F125"/>
    <mergeCell ref="B126:F126"/>
    <mergeCell ref="A127:A131"/>
    <mergeCell ref="B132:F132"/>
    <mergeCell ref="B133:F133"/>
    <mergeCell ref="B169:F169"/>
    <mergeCell ref="B155:F155"/>
    <mergeCell ref="B156:F156"/>
    <mergeCell ref="A157:A162"/>
    <mergeCell ref="B163:F163"/>
    <mergeCell ref="B164:F164"/>
    <mergeCell ref="A165:A168"/>
  </mergeCells>
  <printOptions gridLines="1"/>
  <pageMargins left="0" right="0" top="0" bottom="0" header="0" footer="0"/>
  <pageSetup orientation="landscape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/>
  </sheetPr>
  <dimension ref="A1:N174"/>
  <sheetViews>
    <sheetView zoomScale="89" zoomScaleNormal="89" workbookViewId="0">
      <pane xSplit="8" ySplit="6" topLeftCell="I13" activePane="bottomRight" state="frozen"/>
      <selection pane="bottomRight" activeCell="H20" sqref="H20"/>
      <selection pane="bottomLeft" activeCell="A7" sqref="A7"/>
      <selection pane="topRight" activeCell="I1" sqref="I1"/>
    </sheetView>
  </sheetViews>
  <sheetFormatPr defaultRowHeight="12.75"/>
  <cols>
    <col min="1" max="1" width="17.7109375" style="124" customWidth="1"/>
    <col min="2" max="2" width="31.5703125" style="124" customWidth="1"/>
    <col min="3" max="3" width="9.5703125" style="124" customWidth="1"/>
    <col min="4" max="4" width="10.28515625" style="124" customWidth="1"/>
    <col min="5" max="5" width="19.42578125" style="123" customWidth="1"/>
    <col min="6" max="6" width="21.5703125" style="124" customWidth="1"/>
    <col min="7" max="7" width="2.28515625" style="124" customWidth="1"/>
    <col min="8" max="8" width="17.5703125" style="124" customWidth="1"/>
    <col min="9" max="9" width="14.85546875" style="164" customWidth="1"/>
    <col min="10" max="10" width="2.7109375" style="124" customWidth="1"/>
    <col min="11" max="11" width="10.28515625" style="189" bestFit="1" customWidth="1"/>
    <col min="12" max="12" width="10.28515625" style="189" customWidth="1"/>
    <col min="13" max="13" width="13.140625" style="124" customWidth="1"/>
    <col min="14" max="14" width="14" style="123" customWidth="1"/>
    <col min="15" max="16384" width="9.140625" style="124"/>
  </cols>
  <sheetData>
    <row r="1" spans="1:14" ht="15.75" customHeight="1">
      <c r="A1" s="122" t="s">
        <v>385</v>
      </c>
      <c r="B1" s="400" t="s">
        <v>407</v>
      </c>
      <c r="C1" s="400"/>
      <c r="D1" s="400"/>
      <c r="E1" s="400"/>
      <c r="F1" s="400"/>
      <c r="G1" s="401"/>
      <c r="H1" s="162" t="s">
        <v>408</v>
      </c>
      <c r="I1" s="158" t="s">
        <v>409</v>
      </c>
      <c r="J1" s="163"/>
      <c r="K1" s="167"/>
      <c r="L1" s="167"/>
      <c r="N1" s="168"/>
    </row>
    <row r="2" spans="1:14" ht="12" customHeight="1">
      <c r="A2" s="125"/>
      <c r="B2" s="403"/>
      <c r="C2" s="403"/>
      <c r="D2" s="403"/>
      <c r="E2" s="403"/>
      <c r="F2" s="403"/>
      <c r="G2" s="401"/>
      <c r="H2" s="404" t="s">
        <v>387</v>
      </c>
      <c r="I2" s="404"/>
      <c r="K2" s="169"/>
      <c r="L2" s="169"/>
    </row>
    <row r="3" spans="1:14" ht="15" customHeight="1">
      <c r="A3" s="398"/>
      <c r="B3" s="405" t="s">
        <v>255</v>
      </c>
      <c r="C3" s="405" t="s">
        <v>256</v>
      </c>
      <c r="D3" s="405"/>
      <c r="E3" s="406"/>
      <c r="F3" s="407"/>
      <c r="G3" s="401"/>
      <c r="H3" s="404"/>
      <c r="I3" s="404"/>
      <c r="K3" s="170"/>
      <c r="L3" s="170"/>
    </row>
    <row r="4" spans="1:14" ht="30" customHeight="1">
      <c r="A4" s="398"/>
      <c r="B4" s="405"/>
      <c r="C4" s="126" t="s">
        <v>259</v>
      </c>
      <c r="D4" s="126" t="s">
        <v>260</v>
      </c>
      <c r="E4" s="127" t="s">
        <v>257</v>
      </c>
      <c r="F4" s="127" t="s">
        <v>258</v>
      </c>
      <c r="G4" s="401"/>
      <c r="H4" s="408" t="s">
        <v>410</v>
      </c>
      <c r="I4" s="408"/>
      <c r="K4" s="167"/>
      <c r="L4" s="167"/>
    </row>
    <row r="5" spans="1:14" ht="12.75" customHeight="1">
      <c r="A5" s="128"/>
      <c r="B5" s="399"/>
      <c r="C5" s="399"/>
      <c r="D5" s="399"/>
      <c r="E5" s="399"/>
      <c r="F5" s="399"/>
      <c r="G5" s="401"/>
      <c r="H5" s="129" t="s">
        <v>259</v>
      </c>
      <c r="I5" s="165" t="s">
        <v>260</v>
      </c>
      <c r="K5" s="170"/>
      <c r="L5" s="170"/>
      <c r="M5" s="155"/>
    </row>
    <row r="6" spans="1:14" ht="15" customHeight="1">
      <c r="A6" s="130" t="s">
        <v>389</v>
      </c>
      <c r="B6" s="394" t="s">
        <v>390</v>
      </c>
      <c r="C6" s="394"/>
      <c r="D6" s="394"/>
      <c r="E6" s="394"/>
      <c r="F6" s="394"/>
      <c r="G6" s="401"/>
      <c r="H6" s="161">
        <v>1.22</v>
      </c>
      <c r="I6" s="166">
        <v>1.26</v>
      </c>
      <c r="K6" s="170"/>
      <c r="L6" s="170"/>
    </row>
    <row r="7" spans="1:14" ht="12.75" customHeight="1">
      <c r="A7" s="398"/>
      <c r="B7" s="131" t="s">
        <v>261</v>
      </c>
      <c r="C7" s="132">
        <f>(30.76*H6)</f>
        <v>37.527200000000001</v>
      </c>
      <c r="D7" s="132">
        <f>(0.62*I6)</f>
        <v>0.78120000000000001</v>
      </c>
      <c r="E7" s="133">
        <v>1</v>
      </c>
      <c r="F7" s="134">
        <f>(C7+D7)*E7</f>
        <v>38.308399999999999</v>
      </c>
      <c r="G7" s="401"/>
      <c r="H7" s="422"/>
      <c r="I7" s="422"/>
      <c r="K7" s="173"/>
      <c r="L7" s="170"/>
      <c r="N7" s="171"/>
    </row>
    <row r="8" spans="1:14" ht="12.75" customHeight="1">
      <c r="A8" s="398"/>
      <c r="B8" s="399"/>
      <c r="C8" s="399"/>
      <c r="D8" s="399"/>
      <c r="E8" s="399"/>
      <c r="F8" s="399"/>
      <c r="G8" s="401"/>
      <c r="H8" s="172"/>
      <c r="I8" s="170"/>
      <c r="K8" s="170"/>
      <c r="L8" s="170"/>
    </row>
    <row r="9" spans="1:14" ht="15" customHeight="1">
      <c r="A9" s="135" t="s">
        <v>389</v>
      </c>
      <c r="B9" s="394" t="s">
        <v>391</v>
      </c>
      <c r="C9" s="394"/>
      <c r="D9" s="394"/>
      <c r="E9" s="394"/>
      <c r="F9" s="394"/>
      <c r="G9" s="401"/>
      <c r="H9" s="172"/>
      <c r="I9" s="170"/>
      <c r="K9" s="170"/>
      <c r="L9" s="170"/>
    </row>
    <row r="10" spans="1:14" ht="12.75" customHeight="1">
      <c r="A10" s="395"/>
      <c r="B10" s="131" t="s">
        <v>262</v>
      </c>
      <c r="C10" s="132">
        <f>(0.92*H6)</f>
        <v>1.1224000000000001</v>
      </c>
      <c r="D10" s="132">
        <f>(1.71*I6)</f>
        <v>2.1545999999999998</v>
      </c>
      <c r="E10" s="133">
        <v>1</v>
      </c>
      <c r="F10" s="134">
        <f>(C10+D10)*E10</f>
        <v>3.2770000000000001</v>
      </c>
      <c r="G10" s="401"/>
      <c r="I10" s="170"/>
      <c r="K10" s="170"/>
      <c r="L10" s="170"/>
    </row>
    <row r="11" spans="1:14" ht="12.75" customHeight="1">
      <c r="A11" s="396"/>
      <c r="B11" s="131" t="s">
        <v>263</v>
      </c>
      <c r="C11" s="132">
        <f>(1.85*H6)</f>
        <v>2.2570000000000001</v>
      </c>
      <c r="D11" s="132">
        <f>(3.41*I6)</f>
        <v>4.2966000000000006</v>
      </c>
      <c r="E11" s="133">
        <v>1</v>
      </c>
      <c r="F11" s="134">
        <f>(C11+D11)*E11</f>
        <v>6.5536000000000012</v>
      </c>
      <c r="G11" s="401"/>
      <c r="I11" s="170"/>
      <c r="K11" s="170"/>
      <c r="L11" s="170"/>
    </row>
    <row r="12" spans="1:14" ht="12.75" customHeight="1">
      <c r="A12" s="397"/>
      <c r="B12" s="131" t="s">
        <v>264</v>
      </c>
      <c r="C12" s="132">
        <f>(4.62*H6)</f>
        <v>5.6364000000000001</v>
      </c>
      <c r="D12" s="132">
        <f>(8.53*I6)</f>
        <v>10.7478</v>
      </c>
      <c r="E12" s="133">
        <v>1</v>
      </c>
      <c r="F12" s="134">
        <f>(C12+D12)*E12</f>
        <v>16.3842</v>
      </c>
      <c r="G12" s="401"/>
      <c r="I12" s="170"/>
      <c r="K12" s="170"/>
      <c r="L12" s="170"/>
    </row>
    <row r="13" spans="1:14" ht="12.75" customHeight="1">
      <c r="A13" s="128"/>
      <c r="B13" s="399"/>
      <c r="C13" s="399"/>
      <c r="D13" s="399"/>
      <c r="E13" s="399"/>
      <c r="F13" s="399"/>
      <c r="G13" s="401"/>
      <c r="I13" s="170"/>
      <c r="K13" s="170"/>
      <c r="L13" s="170"/>
    </row>
    <row r="14" spans="1:14" ht="15" customHeight="1">
      <c r="A14" s="135" t="s">
        <v>389</v>
      </c>
      <c r="B14" s="394" t="s">
        <v>392</v>
      </c>
      <c r="C14" s="394"/>
      <c r="D14" s="394"/>
      <c r="E14" s="394"/>
      <c r="F14" s="394"/>
      <c r="G14" s="401"/>
      <c r="H14" s="155"/>
      <c r="I14" s="170"/>
      <c r="K14" s="170"/>
      <c r="L14" s="170"/>
    </row>
    <row r="15" spans="1:14" ht="12.75" customHeight="1">
      <c r="A15" s="395"/>
      <c r="B15" s="131" t="s">
        <v>265</v>
      </c>
      <c r="C15" s="132">
        <f>(4.62*H6)</f>
        <v>5.6364000000000001</v>
      </c>
      <c r="D15" s="132">
        <f>(14.49*I6)</f>
        <v>18.257400000000001</v>
      </c>
      <c r="E15" s="133">
        <v>1</v>
      </c>
      <c r="F15" s="134">
        <f>(C15+D15)*E15</f>
        <v>23.893799999999999</v>
      </c>
      <c r="G15" s="401"/>
      <c r="I15" s="170"/>
      <c r="K15" s="170"/>
      <c r="L15" s="170"/>
    </row>
    <row r="16" spans="1:14" ht="12.75" customHeight="1">
      <c r="A16" s="396"/>
      <c r="B16" s="131" t="s">
        <v>266</v>
      </c>
      <c r="C16" s="132">
        <f>(0.58*H6)</f>
        <v>0.7075999999999999</v>
      </c>
      <c r="D16" s="132">
        <f>(1.92*I6)</f>
        <v>2.4192</v>
      </c>
      <c r="E16" s="133">
        <v>1</v>
      </c>
      <c r="F16" s="134">
        <f>(C16+D16)*E16</f>
        <v>3.1267999999999998</v>
      </c>
      <c r="G16" s="401"/>
      <c r="I16" s="170"/>
      <c r="K16" s="170"/>
      <c r="L16" s="170"/>
    </row>
    <row r="17" spans="1:9" ht="12.75" customHeight="1">
      <c r="A17" s="396"/>
      <c r="B17" s="131" t="s">
        <v>267</v>
      </c>
      <c r="C17" s="132">
        <f>(0.9*H6)</f>
        <v>1.0980000000000001</v>
      </c>
      <c r="D17" s="132">
        <f>(2.98*I6)</f>
        <v>3.7547999999999999</v>
      </c>
      <c r="E17" s="133">
        <v>1</v>
      </c>
      <c r="F17" s="134">
        <f>(C17+D17)*E17</f>
        <v>4.8528000000000002</v>
      </c>
      <c r="G17" s="401"/>
      <c r="I17" s="170"/>
    </row>
    <row r="18" spans="1:9" ht="12.75" customHeight="1">
      <c r="A18" s="396"/>
      <c r="B18" s="131" t="s">
        <v>268</v>
      </c>
      <c r="C18" s="132">
        <f>(0.9*H6)</f>
        <v>1.0980000000000001</v>
      </c>
      <c r="D18" s="132">
        <f>(2.98*I6)</f>
        <v>3.7547999999999999</v>
      </c>
      <c r="E18" s="133">
        <v>1</v>
      </c>
      <c r="F18" s="134">
        <f>(C18+D18)*E18</f>
        <v>4.8528000000000002</v>
      </c>
      <c r="G18" s="401"/>
      <c r="I18" s="170"/>
    </row>
    <row r="19" spans="1:9" ht="12.75" customHeight="1">
      <c r="A19" s="396"/>
      <c r="B19" s="131" t="s">
        <v>269</v>
      </c>
      <c r="C19" s="132">
        <f>(0.58*H6)</f>
        <v>0.7075999999999999</v>
      </c>
      <c r="D19" s="132">
        <f>(1.92*I6)</f>
        <v>2.4192</v>
      </c>
      <c r="E19" s="133">
        <v>1</v>
      </c>
      <c r="F19" s="134">
        <f>(C19+D19)*E19</f>
        <v>3.1267999999999998</v>
      </c>
      <c r="G19" s="401"/>
      <c r="I19" s="173"/>
    </row>
    <row r="20" spans="1:9" ht="12.75" customHeight="1">
      <c r="A20" s="396"/>
      <c r="B20" s="131" t="s">
        <v>270</v>
      </c>
      <c r="C20" s="132">
        <f>(0.77*H6)</f>
        <v>0.93940000000000001</v>
      </c>
      <c r="D20" s="132">
        <f>(2.56*I6)</f>
        <v>3.2256</v>
      </c>
      <c r="E20" s="133">
        <v>1</v>
      </c>
      <c r="F20" s="134">
        <f t="shared" ref="F20:F31" si="0">(C20+D20)*E20</f>
        <v>4.165</v>
      </c>
      <c r="G20" s="401"/>
      <c r="I20" s="170"/>
    </row>
    <row r="21" spans="1:9" ht="12.75" customHeight="1">
      <c r="A21" s="396"/>
      <c r="B21" s="131" t="s">
        <v>271</v>
      </c>
      <c r="C21" s="132">
        <f>(0.77*H6)</f>
        <v>0.93940000000000001</v>
      </c>
      <c r="D21" s="132">
        <f>(2.56*I6)</f>
        <v>3.2256</v>
      </c>
      <c r="E21" s="133">
        <v>1</v>
      </c>
      <c r="F21" s="134">
        <f t="shared" si="0"/>
        <v>4.165</v>
      </c>
      <c r="G21" s="401"/>
      <c r="I21" s="170"/>
    </row>
    <row r="22" spans="1:9" ht="12.75" customHeight="1">
      <c r="A22" s="396"/>
      <c r="B22" s="131" t="s">
        <v>272</v>
      </c>
      <c r="C22" s="132">
        <f>(0.83*H6)</f>
        <v>1.0125999999999999</v>
      </c>
      <c r="D22" s="132">
        <f>(2.77*I6)</f>
        <v>3.4902000000000002</v>
      </c>
      <c r="E22" s="133">
        <v>1</v>
      </c>
      <c r="F22" s="134">
        <f t="shared" si="0"/>
        <v>4.5028000000000006</v>
      </c>
      <c r="G22" s="401"/>
      <c r="I22" s="170"/>
    </row>
    <row r="23" spans="1:9" ht="12.75" customHeight="1">
      <c r="A23" s="396"/>
      <c r="B23" s="131" t="s">
        <v>273</v>
      </c>
      <c r="C23" s="132">
        <f>(0.96*H6)</f>
        <v>1.1712</v>
      </c>
      <c r="D23" s="132">
        <f>(3.2*I6)</f>
        <v>4.032</v>
      </c>
      <c r="E23" s="133">
        <v>1</v>
      </c>
      <c r="F23" s="134">
        <f t="shared" si="0"/>
        <v>5.2031999999999998</v>
      </c>
      <c r="G23" s="401"/>
      <c r="I23" s="170"/>
    </row>
    <row r="24" spans="1:9" ht="12.75" customHeight="1">
      <c r="A24" s="396"/>
      <c r="B24" s="131" t="s">
        <v>274</v>
      </c>
      <c r="C24" s="132">
        <f>(0.96*H6)</f>
        <v>1.1712</v>
      </c>
      <c r="D24" s="132">
        <f>(3.2*I6)</f>
        <v>4.032</v>
      </c>
      <c r="E24" s="133">
        <v>1</v>
      </c>
      <c r="F24" s="134">
        <f t="shared" si="0"/>
        <v>5.2031999999999998</v>
      </c>
      <c r="G24" s="401"/>
      <c r="I24" s="170"/>
    </row>
    <row r="25" spans="1:9" ht="12.75" customHeight="1">
      <c r="A25" s="396"/>
      <c r="B25" s="131" t="s">
        <v>275</v>
      </c>
      <c r="C25" s="132">
        <f>(1.03*H6)</f>
        <v>1.2565999999999999</v>
      </c>
      <c r="D25" s="132">
        <f>(3.41*I6)</f>
        <v>4.2966000000000006</v>
      </c>
      <c r="E25" s="133">
        <v>1</v>
      </c>
      <c r="F25" s="134">
        <f t="shared" si="0"/>
        <v>5.5532000000000004</v>
      </c>
      <c r="G25" s="401"/>
      <c r="I25" s="170"/>
    </row>
    <row r="26" spans="1:9" ht="12.75" customHeight="1">
      <c r="A26" s="396"/>
      <c r="B26" s="131" t="s">
        <v>276</v>
      </c>
      <c r="C26" s="132">
        <f>(1.54*H6)</f>
        <v>1.8788</v>
      </c>
      <c r="D26" s="132">
        <f>(5.12*I6)</f>
        <v>6.4512</v>
      </c>
      <c r="E26" s="133">
        <v>1</v>
      </c>
      <c r="F26" s="134">
        <f t="shared" si="0"/>
        <v>8.33</v>
      </c>
      <c r="G26" s="401"/>
      <c r="I26" s="170"/>
    </row>
    <row r="27" spans="1:9" ht="12.75" customHeight="1">
      <c r="A27" s="396"/>
      <c r="B27" s="131" t="s">
        <v>277</v>
      </c>
      <c r="C27" s="132">
        <f>(2.43*H6)</f>
        <v>2.9646000000000003</v>
      </c>
      <c r="D27" s="132">
        <f>(8.06*I6)</f>
        <v>10.155600000000002</v>
      </c>
      <c r="E27" s="133">
        <v>1</v>
      </c>
      <c r="F27" s="134">
        <f t="shared" si="0"/>
        <v>13.120200000000002</v>
      </c>
      <c r="G27" s="401"/>
      <c r="I27" s="170"/>
    </row>
    <row r="28" spans="1:9" ht="12.75" customHeight="1">
      <c r="A28" s="396"/>
      <c r="B28" s="131" t="s">
        <v>278</v>
      </c>
      <c r="C28" s="132">
        <f>(2.43*H6)</f>
        <v>2.9646000000000003</v>
      </c>
      <c r="D28" s="132">
        <f>(8.06*I6)</f>
        <v>10.155600000000002</v>
      </c>
      <c r="E28" s="133">
        <v>1</v>
      </c>
      <c r="F28" s="134">
        <f t="shared" si="0"/>
        <v>13.120200000000002</v>
      </c>
      <c r="G28" s="401"/>
      <c r="I28" s="170"/>
    </row>
    <row r="29" spans="1:9" ht="12.75" customHeight="1">
      <c r="A29" s="396"/>
      <c r="B29" s="131" t="s">
        <v>279</v>
      </c>
      <c r="C29" s="132">
        <f>(1.22*H6)</f>
        <v>1.4883999999999999</v>
      </c>
      <c r="D29" s="132">
        <f>(4.05*I6)</f>
        <v>5.1029999999999998</v>
      </c>
      <c r="E29" s="133">
        <v>1</v>
      </c>
      <c r="F29" s="134">
        <f t="shared" si="0"/>
        <v>6.5914000000000001</v>
      </c>
      <c r="G29" s="401"/>
      <c r="I29" s="170"/>
    </row>
    <row r="30" spans="1:9" ht="12.75" customHeight="1">
      <c r="A30" s="396"/>
      <c r="B30" s="131" t="s">
        <v>280</v>
      </c>
      <c r="C30" s="132">
        <f>(0.58*H6)</f>
        <v>0.7075999999999999</v>
      </c>
      <c r="D30" s="132">
        <f>(1.92*I6)</f>
        <v>2.4192</v>
      </c>
      <c r="E30" s="133">
        <v>1</v>
      </c>
      <c r="F30" s="134">
        <f t="shared" si="0"/>
        <v>3.1267999999999998</v>
      </c>
      <c r="G30" s="401"/>
      <c r="I30" s="170"/>
    </row>
    <row r="31" spans="1:9" ht="12.75" customHeight="1">
      <c r="A31" s="397"/>
      <c r="B31" s="131" t="s">
        <v>281</v>
      </c>
      <c r="C31" s="132">
        <f>(0.26*H6)</f>
        <v>0.31719999999999998</v>
      </c>
      <c r="D31" s="132">
        <f>(0.85*I6)</f>
        <v>1.071</v>
      </c>
      <c r="E31" s="133">
        <v>1</v>
      </c>
      <c r="F31" s="134">
        <f t="shared" si="0"/>
        <v>1.3881999999999999</v>
      </c>
      <c r="G31" s="401"/>
      <c r="I31" s="170"/>
    </row>
    <row r="32" spans="1:9" ht="12.75" customHeight="1">
      <c r="A32" s="128"/>
      <c r="B32" s="399"/>
      <c r="C32" s="399"/>
      <c r="D32" s="399"/>
      <c r="E32" s="399"/>
      <c r="F32" s="399"/>
      <c r="G32" s="401"/>
      <c r="I32" s="170"/>
    </row>
    <row r="33" spans="1:13" ht="15" customHeight="1">
      <c r="A33" s="135" t="s">
        <v>389</v>
      </c>
      <c r="B33" s="394" t="s">
        <v>393</v>
      </c>
      <c r="C33" s="394"/>
      <c r="D33" s="394"/>
      <c r="E33" s="394"/>
      <c r="F33" s="394"/>
      <c r="G33" s="401"/>
      <c r="I33" s="170"/>
      <c r="K33" s="170"/>
      <c r="L33" s="170"/>
    </row>
    <row r="34" spans="1:13" ht="12.75" customHeight="1">
      <c r="A34" s="395"/>
      <c r="B34" s="131" t="s">
        <v>282</v>
      </c>
      <c r="C34" s="132">
        <f>(4.73*H6)</f>
        <v>5.7706</v>
      </c>
      <c r="D34" s="132">
        <f>(10.3*I6)</f>
        <v>12.978000000000002</v>
      </c>
      <c r="E34" s="133">
        <v>1</v>
      </c>
      <c r="F34" s="134">
        <f>(C34+D34)*E34</f>
        <v>18.748600000000003</v>
      </c>
      <c r="G34" s="401"/>
      <c r="I34" s="170"/>
      <c r="K34" s="170"/>
      <c r="L34" s="170"/>
    </row>
    <row r="35" spans="1:13" ht="12.75" customHeight="1">
      <c r="A35" s="396"/>
      <c r="B35" s="131" t="s">
        <v>283</v>
      </c>
      <c r="C35" s="132">
        <f>(9.1*H6)</f>
        <v>11.101999999999999</v>
      </c>
      <c r="D35" s="132">
        <f>(7.08*I6)</f>
        <v>8.9207999999999998</v>
      </c>
      <c r="E35" s="133">
        <v>1</v>
      </c>
      <c r="F35" s="134">
        <f>(C35+D35)*E35</f>
        <v>20.022799999999997</v>
      </c>
      <c r="G35" s="401"/>
      <c r="I35" s="170"/>
      <c r="K35" s="170"/>
      <c r="L35" s="170"/>
    </row>
    <row r="36" spans="1:13" ht="12.75" customHeight="1">
      <c r="A36" s="396"/>
      <c r="B36" s="131" t="s">
        <v>284</v>
      </c>
      <c r="C36" s="132">
        <f>(7.9*H6)</f>
        <v>9.6379999999999999</v>
      </c>
      <c r="D36" s="132">
        <f>(6.14*I6)</f>
        <v>7.7363999999999997</v>
      </c>
      <c r="E36" s="133">
        <v>1</v>
      </c>
      <c r="F36" s="134">
        <f>(C36+D36)*E36</f>
        <v>17.374400000000001</v>
      </c>
      <c r="G36" s="401"/>
      <c r="I36" s="170"/>
      <c r="K36" s="170"/>
      <c r="L36" s="170"/>
      <c r="M36" s="423"/>
    </row>
    <row r="37" spans="1:13" ht="12.75" customHeight="1">
      <c r="A37" s="396"/>
      <c r="B37" s="131" t="s">
        <v>285</v>
      </c>
      <c r="C37" s="132">
        <f>(11.51*H6)</f>
        <v>14.042199999999999</v>
      </c>
      <c r="D37" s="132">
        <f>(8.95*I6)</f>
        <v>11.276999999999999</v>
      </c>
      <c r="E37" s="133">
        <v>1</v>
      </c>
      <c r="F37" s="134">
        <f>(C37+D37)*E37</f>
        <v>25.319199999999999</v>
      </c>
      <c r="G37" s="401"/>
      <c r="I37" s="170"/>
      <c r="K37" s="170"/>
      <c r="L37" s="170"/>
      <c r="M37" s="423"/>
    </row>
    <row r="38" spans="1:13" ht="12.75" customHeight="1">
      <c r="A38" s="397"/>
      <c r="B38" s="131" t="s">
        <v>286</v>
      </c>
      <c r="C38" s="132">
        <f>(1.51*H6)</f>
        <v>1.8422000000000001</v>
      </c>
      <c r="D38" s="132">
        <f>(1.71*I6)</f>
        <v>2.1545999999999998</v>
      </c>
      <c r="E38" s="133">
        <v>1</v>
      </c>
      <c r="F38" s="134">
        <f>(C38+D38)*E38</f>
        <v>3.9967999999999999</v>
      </c>
      <c r="G38" s="401"/>
      <c r="I38" s="170"/>
      <c r="K38" s="170"/>
      <c r="L38" s="170"/>
    </row>
    <row r="39" spans="1:13" ht="12.75" customHeight="1">
      <c r="A39" s="128"/>
      <c r="B39" s="393"/>
      <c r="C39" s="393"/>
      <c r="D39" s="393"/>
      <c r="E39" s="393"/>
      <c r="F39" s="393"/>
      <c r="G39" s="401"/>
      <c r="I39" s="170"/>
      <c r="K39" s="170"/>
      <c r="L39" s="170"/>
    </row>
    <row r="40" spans="1:13" ht="15" customHeight="1">
      <c r="A40" s="135" t="s">
        <v>389</v>
      </c>
      <c r="B40" s="394" t="s">
        <v>394</v>
      </c>
      <c r="C40" s="394"/>
      <c r="D40" s="394"/>
      <c r="E40" s="394"/>
      <c r="F40" s="394"/>
      <c r="G40" s="401"/>
      <c r="I40" s="170"/>
      <c r="K40" s="170"/>
      <c r="L40" s="170"/>
    </row>
    <row r="41" spans="1:13" ht="12.75" customHeight="1">
      <c r="A41" s="398"/>
      <c r="B41" s="131" t="s">
        <v>287</v>
      </c>
      <c r="C41" s="132">
        <f>(45.77*H6)</f>
        <v>55.839400000000005</v>
      </c>
      <c r="D41" s="132">
        <f>(54.72*I6)</f>
        <v>68.947199999999995</v>
      </c>
      <c r="E41" s="133">
        <v>1</v>
      </c>
      <c r="F41" s="134">
        <f>(C41+D41)*E41</f>
        <v>124.78659999999999</v>
      </c>
      <c r="G41" s="401"/>
      <c r="I41" s="170"/>
      <c r="K41" s="170"/>
      <c r="L41" s="170"/>
      <c r="M41" s="423"/>
    </row>
    <row r="42" spans="1:13" ht="12.75" customHeight="1">
      <c r="A42" s="398"/>
      <c r="B42" s="131" t="s">
        <v>288</v>
      </c>
      <c r="C42" s="132">
        <f>(33.65*H6)</f>
        <v>41.052999999999997</v>
      </c>
      <c r="D42" s="132">
        <f>(16.42*I6)</f>
        <v>20.689200000000003</v>
      </c>
      <c r="E42" s="133">
        <v>1</v>
      </c>
      <c r="F42" s="134">
        <f>(C42+D42)*E42</f>
        <v>61.742199999999997</v>
      </c>
      <c r="G42" s="401"/>
      <c r="I42" s="170"/>
      <c r="K42" s="170"/>
      <c r="L42" s="170"/>
    </row>
    <row r="43" spans="1:13" ht="12.75" customHeight="1">
      <c r="A43" s="128"/>
      <c r="B43" s="393"/>
      <c r="C43" s="393"/>
      <c r="D43" s="393"/>
      <c r="E43" s="393"/>
      <c r="F43" s="393"/>
      <c r="G43" s="401"/>
      <c r="I43" s="170"/>
      <c r="K43" s="170"/>
      <c r="L43" s="170"/>
    </row>
    <row r="44" spans="1:13" ht="15" customHeight="1">
      <c r="A44" s="135" t="s">
        <v>389</v>
      </c>
      <c r="B44" s="394" t="s">
        <v>395</v>
      </c>
      <c r="C44" s="394"/>
      <c r="D44" s="394"/>
      <c r="E44" s="394"/>
      <c r="F44" s="394"/>
      <c r="G44" s="401"/>
      <c r="I44" s="170"/>
      <c r="K44" s="170"/>
      <c r="L44" s="170"/>
    </row>
    <row r="45" spans="1:13" ht="12.75" customHeight="1">
      <c r="A45" s="395"/>
      <c r="B45" s="131" t="s">
        <v>289</v>
      </c>
      <c r="C45" s="132">
        <f>(1.95*H6)</f>
        <v>2.379</v>
      </c>
      <c r="D45" s="132">
        <f>(2.56*I6)</f>
        <v>3.2256</v>
      </c>
      <c r="E45" s="133">
        <v>1</v>
      </c>
      <c r="F45" s="134">
        <f t="shared" ref="F45:F51" si="1">(C45+D45)*E45</f>
        <v>5.6045999999999996</v>
      </c>
      <c r="G45" s="401"/>
      <c r="I45" s="170"/>
      <c r="K45" s="170"/>
      <c r="L45" s="170"/>
    </row>
    <row r="46" spans="1:13" ht="12.75" customHeight="1">
      <c r="A46" s="396"/>
      <c r="B46" s="131" t="s">
        <v>290</v>
      </c>
      <c r="C46" s="132">
        <f>(2.59*H6)</f>
        <v>3.1597999999999997</v>
      </c>
      <c r="D46" s="132">
        <f>(3.41*I6)</f>
        <v>4.2966000000000006</v>
      </c>
      <c r="E46" s="133">
        <v>1</v>
      </c>
      <c r="F46" s="134">
        <f t="shared" si="1"/>
        <v>7.4564000000000004</v>
      </c>
      <c r="G46" s="401"/>
      <c r="I46" s="170"/>
      <c r="K46" s="170"/>
      <c r="L46" s="170"/>
    </row>
    <row r="47" spans="1:13" ht="12.75" customHeight="1">
      <c r="A47" s="396"/>
      <c r="B47" s="131" t="s">
        <v>104</v>
      </c>
      <c r="C47" s="132">
        <f>(2.59*H6)</f>
        <v>3.1597999999999997</v>
      </c>
      <c r="D47" s="132">
        <f>(3.41*I6)</f>
        <v>4.2966000000000006</v>
      </c>
      <c r="E47" s="133">
        <v>1</v>
      </c>
      <c r="F47" s="134">
        <f t="shared" si="1"/>
        <v>7.4564000000000004</v>
      </c>
      <c r="G47" s="401"/>
      <c r="I47" s="170"/>
      <c r="K47" s="170"/>
      <c r="L47" s="170"/>
    </row>
    <row r="48" spans="1:13" ht="12.75" customHeight="1">
      <c r="A48" s="396"/>
      <c r="B48" s="131" t="s">
        <v>291</v>
      </c>
      <c r="C48" s="132">
        <f>(1.56*H6)</f>
        <v>1.9032</v>
      </c>
      <c r="D48" s="132">
        <f>(2.05*I6)</f>
        <v>2.5829999999999997</v>
      </c>
      <c r="E48" s="133">
        <v>1</v>
      </c>
      <c r="F48" s="134">
        <f t="shared" si="1"/>
        <v>4.4862000000000002</v>
      </c>
      <c r="G48" s="401"/>
      <c r="I48" s="170"/>
      <c r="K48" s="170"/>
      <c r="L48" s="170"/>
    </row>
    <row r="49" spans="1:9" ht="12.75" customHeight="1">
      <c r="A49" s="396"/>
      <c r="B49" s="131" t="s">
        <v>292</v>
      </c>
      <c r="C49" s="132">
        <f>(1.17*H6)</f>
        <v>1.4273999999999998</v>
      </c>
      <c r="D49" s="132">
        <f>(1.53*I6)</f>
        <v>1.9278</v>
      </c>
      <c r="E49" s="133">
        <v>1</v>
      </c>
      <c r="F49" s="134">
        <f t="shared" si="1"/>
        <v>3.3552</v>
      </c>
      <c r="G49" s="401"/>
      <c r="I49" s="170"/>
    </row>
    <row r="50" spans="1:9" ht="12.75" customHeight="1">
      <c r="A50" s="396"/>
      <c r="B50" s="131" t="s">
        <v>293</v>
      </c>
      <c r="C50" s="132">
        <f>(2.79*H6)</f>
        <v>3.4037999999999999</v>
      </c>
      <c r="D50" s="132">
        <f>(3.67*I6)</f>
        <v>4.6242000000000001</v>
      </c>
      <c r="E50" s="133">
        <v>1</v>
      </c>
      <c r="F50" s="134">
        <f t="shared" si="1"/>
        <v>8.0280000000000005</v>
      </c>
      <c r="G50" s="401"/>
      <c r="I50" s="170"/>
    </row>
    <row r="51" spans="1:9" ht="12.75" customHeight="1">
      <c r="A51" s="397"/>
      <c r="B51" s="131" t="s">
        <v>294</v>
      </c>
      <c r="C51" s="132">
        <f>(0.71*H6)</f>
        <v>0.86619999999999997</v>
      </c>
      <c r="D51" s="132">
        <f>(0.94*I6)</f>
        <v>1.1843999999999999</v>
      </c>
      <c r="E51" s="133">
        <v>1</v>
      </c>
      <c r="F51" s="134">
        <f t="shared" si="1"/>
        <v>2.0505999999999998</v>
      </c>
      <c r="G51" s="401"/>
      <c r="I51" s="170"/>
    </row>
    <row r="52" spans="1:9" ht="12.75" customHeight="1">
      <c r="A52" s="128"/>
      <c r="B52" s="393"/>
      <c r="C52" s="393"/>
      <c r="D52" s="393"/>
      <c r="E52" s="393"/>
      <c r="F52" s="393"/>
      <c r="G52" s="401"/>
      <c r="I52" s="170"/>
    </row>
    <row r="53" spans="1:9" ht="15" customHeight="1">
      <c r="A53" s="135" t="s">
        <v>389</v>
      </c>
      <c r="B53" s="394" t="s">
        <v>396</v>
      </c>
      <c r="C53" s="394"/>
      <c r="D53" s="394"/>
      <c r="E53" s="394"/>
      <c r="F53" s="394"/>
      <c r="G53" s="401"/>
      <c r="I53" s="170"/>
    </row>
    <row r="54" spans="1:9" ht="12.75" customHeight="1">
      <c r="A54" s="398"/>
      <c r="B54" s="131" t="s">
        <v>295</v>
      </c>
      <c r="C54" s="132">
        <f>(3.28*H6)</f>
        <v>4.0015999999999998</v>
      </c>
      <c r="D54" s="132">
        <f>(4.26*I6)</f>
        <v>5.3675999999999995</v>
      </c>
      <c r="E54" s="133">
        <v>1</v>
      </c>
      <c r="F54" s="134">
        <f>(C54+D54)*E54</f>
        <v>9.3691999999999993</v>
      </c>
      <c r="G54" s="401"/>
      <c r="I54" s="170"/>
    </row>
    <row r="55" spans="1:9" ht="12.75" customHeight="1">
      <c r="A55" s="398"/>
      <c r="B55" s="131" t="s">
        <v>296</v>
      </c>
      <c r="C55" s="132">
        <f>(1.31*H6)</f>
        <v>1.5982000000000001</v>
      </c>
      <c r="D55" s="132">
        <f>(1.71*I6)</f>
        <v>2.1545999999999998</v>
      </c>
      <c r="E55" s="133">
        <v>1</v>
      </c>
      <c r="F55" s="134">
        <f>(C55+D55)*E55</f>
        <v>3.7527999999999997</v>
      </c>
      <c r="G55" s="401"/>
      <c r="I55" s="170"/>
    </row>
    <row r="56" spans="1:9" ht="12.75" customHeight="1">
      <c r="A56" s="128"/>
      <c r="B56" s="393"/>
      <c r="C56" s="393"/>
      <c r="D56" s="393"/>
      <c r="E56" s="393"/>
      <c r="F56" s="393"/>
      <c r="G56" s="401"/>
      <c r="I56" s="170"/>
    </row>
    <row r="57" spans="1:9" ht="15" customHeight="1">
      <c r="A57" s="135" t="s">
        <v>389</v>
      </c>
      <c r="B57" s="394" t="s">
        <v>397</v>
      </c>
      <c r="C57" s="394"/>
      <c r="D57" s="394"/>
      <c r="E57" s="394"/>
      <c r="F57" s="394"/>
      <c r="G57" s="401"/>
      <c r="I57" s="170"/>
    </row>
    <row r="58" spans="1:9" ht="12.75" customHeight="1">
      <c r="A58" s="395"/>
      <c r="B58" s="131" t="s">
        <v>297</v>
      </c>
      <c r="C58" s="132">
        <f>(20.89*H6)</f>
        <v>25.485800000000001</v>
      </c>
      <c r="D58" s="132">
        <f>(6.46*I6)</f>
        <v>8.1395999999999997</v>
      </c>
      <c r="E58" s="133">
        <v>1</v>
      </c>
      <c r="F58" s="134">
        <f t="shared" ref="F58:F96" si="2">(C58+D58)*E58</f>
        <v>33.625399999999999</v>
      </c>
      <c r="G58" s="401"/>
      <c r="I58" s="170"/>
    </row>
    <row r="59" spans="1:9" ht="12.75" customHeight="1">
      <c r="A59" s="396"/>
      <c r="B59" s="131" t="s">
        <v>298</v>
      </c>
      <c r="C59" s="132">
        <f>(10.81*H6)</f>
        <v>13.1882</v>
      </c>
      <c r="D59" s="132">
        <f>(7.12*I6)</f>
        <v>8.9711999999999996</v>
      </c>
      <c r="E59" s="133">
        <v>1</v>
      </c>
      <c r="F59" s="134">
        <f t="shared" si="2"/>
        <v>22.159399999999998</v>
      </c>
      <c r="G59" s="401"/>
      <c r="I59" s="170"/>
    </row>
    <row r="60" spans="1:9" ht="12.75" customHeight="1">
      <c r="A60" s="396"/>
      <c r="B60" s="131" t="s">
        <v>299</v>
      </c>
      <c r="C60" s="132">
        <f>(10.81*H6)</f>
        <v>13.1882</v>
      </c>
      <c r="D60" s="132">
        <f>(7.12*I6)</f>
        <v>8.9711999999999996</v>
      </c>
      <c r="E60" s="133">
        <v>1</v>
      </c>
      <c r="F60" s="134">
        <f t="shared" si="2"/>
        <v>22.159399999999998</v>
      </c>
      <c r="G60" s="401"/>
      <c r="I60" s="170"/>
    </row>
    <row r="61" spans="1:9" ht="12.75" customHeight="1">
      <c r="A61" s="396"/>
      <c r="B61" s="131" t="s">
        <v>300</v>
      </c>
      <c r="C61" s="132">
        <f>(4.54*H6)</f>
        <v>5.5388000000000002</v>
      </c>
      <c r="D61" s="132">
        <f>(9.55*I6)</f>
        <v>12.033000000000001</v>
      </c>
      <c r="E61" s="133">
        <v>1</v>
      </c>
      <c r="F61" s="134">
        <f t="shared" si="2"/>
        <v>17.571800000000003</v>
      </c>
      <c r="G61" s="401"/>
      <c r="I61" s="170"/>
    </row>
    <row r="62" spans="1:9" ht="12.75" customHeight="1">
      <c r="A62" s="396"/>
      <c r="B62" s="131" t="s">
        <v>301</v>
      </c>
      <c r="C62" s="132">
        <f>(1.09*H6)</f>
        <v>1.3298000000000001</v>
      </c>
      <c r="D62" s="132">
        <f>(2.51*I6)</f>
        <v>3.1625999999999999</v>
      </c>
      <c r="E62" s="133">
        <v>1</v>
      </c>
      <c r="F62" s="134">
        <f t="shared" si="2"/>
        <v>4.4923999999999999</v>
      </c>
      <c r="G62" s="401"/>
      <c r="I62" s="170"/>
    </row>
    <row r="63" spans="1:9" ht="12.75" customHeight="1">
      <c r="A63" s="396"/>
      <c r="B63" s="131" t="s">
        <v>93</v>
      </c>
      <c r="C63" s="132">
        <f>(0.33*H6)</f>
        <v>0.40260000000000001</v>
      </c>
      <c r="D63" s="132">
        <f>(1.36*I6)</f>
        <v>1.7136000000000002</v>
      </c>
      <c r="E63" s="133">
        <v>1</v>
      </c>
      <c r="F63" s="134">
        <f t="shared" si="2"/>
        <v>2.1162000000000001</v>
      </c>
      <c r="G63" s="401"/>
      <c r="I63" s="170"/>
    </row>
    <row r="64" spans="1:9" ht="12.75" customHeight="1">
      <c r="A64" s="396"/>
      <c r="B64" s="131" t="s">
        <v>302</v>
      </c>
      <c r="C64" s="132">
        <f>(2.12*H6)</f>
        <v>2.5864000000000003</v>
      </c>
      <c r="D64" s="132">
        <f>(16.28*I6)</f>
        <v>20.512800000000002</v>
      </c>
      <c r="E64" s="133">
        <v>1</v>
      </c>
      <c r="F64" s="134">
        <f t="shared" si="2"/>
        <v>23.099200000000003</v>
      </c>
      <c r="G64" s="401"/>
      <c r="I64" s="170"/>
    </row>
    <row r="65" spans="1:13" ht="12.75" customHeight="1">
      <c r="A65" s="396"/>
      <c r="B65" s="131" t="s">
        <v>303</v>
      </c>
      <c r="C65" s="132">
        <f>(2.4*H6)</f>
        <v>2.9279999999999999</v>
      </c>
      <c r="D65" s="132">
        <f>(3.29*I6)</f>
        <v>4.1454000000000004</v>
      </c>
      <c r="E65" s="133">
        <v>1</v>
      </c>
      <c r="F65" s="134">
        <f t="shared" si="2"/>
        <v>7.0734000000000004</v>
      </c>
      <c r="G65" s="401"/>
      <c r="I65" s="170"/>
      <c r="K65" s="170"/>
      <c r="L65" s="170"/>
    </row>
    <row r="66" spans="1:13" ht="12.75" customHeight="1">
      <c r="A66" s="396"/>
      <c r="B66" s="131" t="s">
        <v>304</v>
      </c>
      <c r="C66" s="132">
        <f>(5.99*H6)</f>
        <v>7.3078000000000003</v>
      </c>
      <c r="D66" s="132">
        <f>(8.22*I6)</f>
        <v>10.357200000000001</v>
      </c>
      <c r="E66" s="133">
        <v>1</v>
      </c>
      <c r="F66" s="134">
        <f t="shared" si="2"/>
        <v>17.664999999999999</v>
      </c>
      <c r="G66" s="401"/>
      <c r="I66" s="170"/>
      <c r="K66" s="170"/>
      <c r="L66" s="170"/>
      <c r="M66" s="423"/>
    </row>
    <row r="67" spans="1:13" ht="12.75" customHeight="1">
      <c r="A67" s="396"/>
      <c r="B67" s="131" t="s">
        <v>305</v>
      </c>
      <c r="C67" s="132">
        <f>(1.6*H6)</f>
        <v>1.952</v>
      </c>
      <c r="D67" s="132">
        <f>(3.98*I6)</f>
        <v>5.0148000000000001</v>
      </c>
      <c r="E67" s="133">
        <v>1</v>
      </c>
      <c r="F67" s="134">
        <f t="shared" si="2"/>
        <v>6.9668000000000001</v>
      </c>
      <c r="G67" s="401"/>
      <c r="I67" s="170"/>
      <c r="K67" s="170"/>
      <c r="L67" s="170"/>
    </row>
    <row r="68" spans="1:13" ht="12.75" customHeight="1">
      <c r="A68" s="396"/>
      <c r="B68" s="131" t="s">
        <v>306</v>
      </c>
      <c r="C68" s="132">
        <f>(0.81*H6)</f>
        <v>0.98820000000000008</v>
      </c>
      <c r="D68" s="132">
        <f>(3.8*I6)</f>
        <v>4.7879999999999994</v>
      </c>
      <c r="E68" s="133">
        <v>1</v>
      </c>
      <c r="F68" s="134">
        <f t="shared" si="2"/>
        <v>5.7761999999999993</v>
      </c>
      <c r="G68" s="401"/>
      <c r="I68" s="170"/>
      <c r="K68" s="170"/>
      <c r="L68" s="170"/>
    </row>
    <row r="69" spans="1:13" ht="12.75" customHeight="1">
      <c r="A69" s="396"/>
      <c r="B69" s="131" t="s">
        <v>307</v>
      </c>
      <c r="C69" s="132">
        <f>(1.28*H6)</f>
        <v>1.5616000000000001</v>
      </c>
      <c r="D69" s="132">
        <f>(2.45*I6)</f>
        <v>3.0870000000000002</v>
      </c>
      <c r="E69" s="133">
        <v>1</v>
      </c>
      <c r="F69" s="134">
        <f t="shared" si="2"/>
        <v>4.6486000000000001</v>
      </c>
      <c r="G69" s="401"/>
      <c r="I69" s="170"/>
      <c r="K69" s="170"/>
      <c r="L69" s="170"/>
    </row>
    <row r="70" spans="1:13" ht="12.75" customHeight="1">
      <c r="A70" s="396"/>
      <c r="B70" s="131" t="s">
        <v>308</v>
      </c>
      <c r="C70" s="132">
        <f>(0.4*H6)</f>
        <v>0.48799999999999999</v>
      </c>
      <c r="D70" s="132">
        <f>(0.68*I6)</f>
        <v>0.85680000000000012</v>
      </c>
      <c r="E70" s="133">
        <v>1</v>
      </c>
      <c r="F70" s="134">
        <f t="shared" si="2"/>
        <v>1.3448000000000002</v>
      </c>
      <c r="G70" s="401"/>
      <c r="I70" s="170"/>
      <c r="K70" s="170"/>
      <c r="L70" s="170"/>
    </row>
    <row r="71" spans="1:13" ht="12.75" customHeight="1">
      <c r="A71" s="396"/>
      <c r="B71" s="131" t="s">
        <v>309</v>
      </c>
      <c r="C71" s="132">
        <f>(2.01*H6)</f>
        <v>2.4521999999999995</v>
      </c>
      <c r="D71" s="132">
        <f>(2.02*I6)</f>
        <v>2.5451999999999999</v>
      </c>
      <c r="E71" s="133">
        <v>1</v>
      </c>
      <c r="F71" s="134">
        <f t="shared" si="2"/>
        <v>4.997399999999999</v>
      </c>
      <c r="G71" s="401"/>
      <c r="I71" s="170"/>
      <c r="K71" s="170"/>
      <c r="L71" s="170"/>
    </row>
    <row r="72" spans="1:13" ht="12.75" customHeight="1">
      <c r="A72" s="396"/>
      <c r="B72" s="131" t="s">
        <v>310</v>
      </c>
      <c r="C72" s="132">
        <f>(4.53*H6)</f>
        <v>5.5266000000000002</v>
      </c>
      <c r="D72" s="132">
        <f>(4.54*I6)</f>
        <v>5.7203999999999997</v>
      </c>
      <c r="E72" s="133">
        <v>1</v>
      </c>
      <c r="F72" s="134">
        <f t="shared" si="2"/>
        <v>11.247</v>
      </c>
      <c r="G72" s="401"/>
      <c r="I72" s="170"/>
      <c r="K72" s="170"/>
      <c r="L72" s="170"/>
    </row>
    <row r="73" spans="1:13" ht="12.75" customHeight="1">
      <c r="A73" s="396"/>
      <c r="B73" s="131" t="s">
        <v>311</v>
      </c>
      <c r="C73" s="132">
        <f>(4.75*H6)</f>
        <v>5.7949999999999999</v>
      </c>
      <c r="D73" s="132">
        <f>(0.25*I6)</f>
        <v>0.315</v>
      </c>
      <c r="E73" s="133">
        <v>1</v>
      </c>
      <c r="F73" s="134">
        <f t="shared" si="2"/>
        <v>6.11</v>
      </c>
      <c r="G73" s="401"/>
      <c r="I73" s="170"/>
      <c r="K73" s="170"/>
      <c r="L73" s="170"/>
    </row>
    <row r="74" spans="1:13" ht="12.75" customHeight="1">
      <c r="A74" s="396"/>
      <c r="B74" s="131" t="s">
        <v>312</v>
      </c>
      <c r="C74" s="132">
        <f>(9.51*H6)</f>
        <v>11.6022</v>
      </c>
      <c r="D74" s="132">
        <f>(0.49*I6)</f>
        <v>0.61739999999999995</v>
      </c>
      <c r="E74" s="133">
        <v>1</v>
      </c>
      <c r="F74" s="134">
        <f t="shared" si="2"/>
        <v>12.2196</v>
      </c>
      <c r="G74" s="401"/>
      <c r="I74" s="170"/>
      <c r="K74" s="170"/>
      <c r="L74" s="170"/>
    </row>
    <row r="75" spans="1:13" ht="12.75" customHeight="1">
      <c r="A75" s="396"/>
      <c r="B75" s="131" t="s">
        <v>313</v>
      </c>
      <c r="C75" s="132">
        <f>(14.26*H6)</f>
        <v>17.397199999999998</v>
      </c>
      <c r="D75" s="132">
        <f>(0.74*I6)</f>
        <v>0.93240000000000001</v>
      </c>
      <c r="E75" s="133">
        <v>1</v>
      </c>
      <c r="F75" s="134">
        <f t="shared" si="2"/>
        <v>18.329599999999999</v>
      </c>
      <c r="G75" s="401"/>
      <c r="I75" s="170"/>
      <c r="K75" s="170"/>
      <c r="L75" s="170"/>
    </row>
    <row r="76" spans="1:13" ht="12.75" customHeight="1">
      <c r="A76" s="396"/>
      <c r="B76" s="131" t="s">
        <v>314</v>
      </c>
      <c r="C76" s="132">
        <f>(17.83*H6)</f>
        <v>21.752599999999997</v>
      </c>
      <c r="D76" s="132">
        <f>(0.92*I6)</f>
        <v>1.1592</v>
      </c>
      <c r="E76" s="133">
        <v>1</v>
      </c>
      <c r="F76" s="134">
        <f t="shared" si="2"/>
        <v>22.911799999999996</v>
      </c>
      <c r="G76" s="401"/>
      <c r="I76" s="170"/>
      <c r="K76" s="170"/>
      <c r="L76" s="170"/>
    </row>
    <row r="77" spans="1:13" ht="12.75" customHeight="1">
      <c r="A77" s="396"/>
      <c r="B77" s="131" t="s">
        <v>315</v>
      </c>
      <c r="C77" s="132">
        <f>(23.77*H6)</f>
        <v>28.999399999999998</v>
      </c>
      <c r="D77" s="132">
        <f>(1.23*I6)</f>
        <v>1.5498000000000001</v>
      </c>
      <c r="E77" s="133">
        <v>1</v>
      </c>
      <c r="F77" s="134">
        <f t="shared" si="2"/>
        <v>30.549199999999999</v>
      </c>
      <c r="G77" s="401"/>
      <c r="I77" s="170"/>
      <c r="K77" s="170"/>
      <c r="L77" s="170"/>
    </row>
    <row r="78" spans="1:13" ht="12.75" customHeight="1">
      <c r="A78" s="396"/>
      <c r="B78" s="131" t="s">
        <v>316</v>
      </c>
      <c r="C78" s="132">
        <f>(27.4*H6)</f>
        <v>33.427999999999997</v>
      </c>
      <c r="D78" s="132">
        <f>(1.5*I6)</f>
        <v>1.8900000000000001</v>
      </c>
      <c r="E78" s="133">
        <v>1</v>
      </c>
      <c r="F78" s="134">
        <f t="shared" si="2"/>
        <v>35.317999999999998</v>
      </c>
      <c r="G78" s="401"/>
      <c r="I78" s="170"/>
      <c r="K78" s="170"/>
      <c r="L78" s="170"/>
    </row>
    <row r="79" spans="1:13" ht="12.75" customHeight="1">
      <c r="A79" s="396"/>
      <c r="B79" s="131" t="s">
        <v>317</v>
      </c>
      <c r="C79" s="132">
        <f>(27.95*H6)</f>
        <v>34.098999999999997</v>
      </c>
      <c r="D79" s="132">
        <f>(1.6*I6)</f>
        <v>2.016</v>
      </c>
      <c r="E79" s="133">
        <v>1</v>
      </c>
      <c r="F79" s="134">
        <f t="shared" si="2"/>
        <v>36.114999999999995</v>
      </c>
      <c r="G79" s="401"/>
      <c r="I79" s="170"/>
      <c r="K79" s="170"/>
      <c r="L79" s="170"/>
    </row>
    <row r="80" spans="1:13" ht="12.75" customHeight="1">
      <c r="A80" s="396"/>
      <c r="B80" s="131" t="s">
        <v>318</v>
      </c>
      <c r="C80" s="132">
        <f>(29.79*H6)</f>
        <v>36.343800000000002</v>
      </c>
      <c r="D80" s="132">
        <f>(1.63*I6)</f>
        <v>2.0537999999999998</v>
      </c>
      <c r="E80" s="133">
        <v>1</v>
      </c>
      <c r="F80" s="134">
        <f t="shared" si="2"/>
        <v>38.397600000000004</v>
      </c>
      <c r="G80" s="401"/>
      <c r="I80" s="170"/>
      <c r="K80" s="170"/>
      <c r="L80" s="170"/>
    </row>
    <row r="81" spans="1:9" ht="12.75" customHeight="1">
      <c r="A81" s="396"/>
      <c r="B81" s="131" t="s">
        <v>319</v>
      </c>
      <c r="C81" s="132">
        <f>(35.66*H6)</f>
        <v>43.505199999999995</v>
      </c>
      <c r="D81" s="132">
        <f>(1.85*I6)</f>
        <v>2.331</v>
      </c>
      <c r="E81" s="133">
        <v>1</v>
      </c>
      <c r="F81" s="134">
        <f t="shared" si="2"/>
        <v>45.836199999999998</v>
      </c>
      <c r="G81" s="401"/>
      <c r="I81" s="170"/>
    </row>
    <row r="82" spans="1:9" ht="12.75" customHeight="1">
      <c r="A82" s="396"/>
      <c r="B82" s="131" t="s">
        <v>320</v>
      </c>
      <c r="C82" s="132">
        <f>(41.6*H6)</f>
        <v>50.752000000000002</v>
      </c>
      <c r="D82" s="132">
        <f>(2.16*I6)</f>
        <v>2.7216</v>
      </c>
      <c r="E82" s="133">
        <v>1</v>
      </c>
      <c r="F82" s="134">
        <f t="shared" si="2"/>
        <v>53.473600000000005</v>
      </c>
      <c r="G82" s="401"/>
      <c r="I82" s="170"/>
    </row>
    <row r="83" spans="1:9" ht="12.75" customHeight="1">
      <c r="A83" s="396"/>
      <c r="B83" s="131" t="s">
        <v>321</v>
      </c>
      <c r="C83" s="132">
        <f>(47.55*H6)</f>
        <v>58.010999999999996</v>
      </c>
      <c r="D83" s="132">
        <f>(2.46*I6)</f>
        <v>3.0996000000000001</v>
      </c>
      <c r="E83" s="133">
        <v>1</v>
      </c>
      <c r="F83" s="134">
        <f t="shared" si="2"/>
        <v>61.110599999999998</v>
      </c>
      <c r="G83" s="401"/>
      <c r="I83" s="170"/>
    </row>
    <row r="84" spans="1:9" ht="12.75" customHeight="1">
      <c r="A84" s="396"/>
      <c r="B84" s="131" t="s">
        <v>322</v>
      </c>
      <c r="C84" s="132">
        <f>(1.27*H6)</f>
        <v>1.5493999999999999</v>
      </c>
      <c r="D84" s="132">
        <f>(0.14*I6)</f>
        <v>0.17640000000000003</v>
      </c>
      <c r="E84" s="133">
        <v>1</v>
      </c>
      <c r="F84" s="134">
        <f t="shared" si="2"/>
        <v>1.7258</v>
      </c>
      <c r="G84" s="401"/>
      <c r="I84" s="170"/>
    </row>
    <row r="85" spans="1:9" ht="12.75" customHeight="1">
      <c r="A85" s="396"/>
      <c r="B85" s="131" t="s">
        <v>323</v>
      </c>
      <c r="C85" s="132">
        <f>(3.18*H6)</f>
        <v>3.8795999999999999</v>
      </c>
      <c r="D85" s="132">
        <f>(0.36*I6)</f>
        <v>0.4536</v>
      </c>
      <c r="E85" s="133">
        <v>1</v>
      </c>
      <c r="F85" s="134">
        <f t="shared" si="2"/>
        <v>4.3331999999999997</v>
      </c>
      <c r="G85" s="401"/>
      <c r="I85" s="170"/>
    </row>
    <row r="86" spans="1:9" ht="12.75" customHeight="1">
      <c r="A86" s="396"/>
      <c r="B86" s="131" t="s">
        <v>324</v>
      </c>
      <c r="C86" s="132">
        <f>(3.81*H6)</f>
        <v>4.6482000000000001</v>
      </c>
      <c r="D86" s="132">
        <f>(0.43*I6)</f>
        <v>0.54179999999999995</v>
      </c>
      <c r="E86" s="133">
        <v>1</v>
      </c>
      <c r="F86" s="134">
        <f t="shared" si="2"/>
        <v>5.19</v>
      </c>
      <c r="G86" s="401"/>
      <c r="I86" s="170"/>
    </row>
    <row r="87" spans="1:9" ht="12.75" customHeight="1">
      <c r="A87" s="396"/>
      <c r="B87" s="131" t="s">
        <v>411</v>
      </c>
      <c r="C87" s="132">
        <f>(1.21*H6)</f>
        <v>1.4762</v>
      </c>
      <c r="D87" s="132">
        <f>(1.22*I6)</f>
        <v>1.5371999999999999</v>
      </c>
      <c r="E87" s="133">
        <v>1</v>
      </c>
      <c r="F87" s="134">
        <f t="shared" si="2"/>
        <v>3.0133999999999999</v>
      </c>
      <c r="G87" s="401"/>
      <c r="I87" s="170"/>
    </row>
    <row r="88" spans="1:9" ht="12.75" customHeight="1">
      <c r="A88" s="396"/>
      <c r="B88" s="131" t="s">
        <v>326</v>
      </c>
      <c r="C88" s="132">
        <f>(0.47*H6)</f>
        <v>0.57339999999999991</v>
      </c>
      <c r="D88" s="132">
        <f>(2.9*I6)</f>
        <v>3.6539999999999999</v>
      </c>
      <c r="E88" s="133">
        <v>1</v>
      </c>
      <c r="F88" s="134">
        <f t="shared" si="2"/>
        <v>4.2273999999999994</v>
      </c>
      <c r="G88" s="401"/>
      <c r="I88" s="170"/>
    </row>
    <row r="89" spans="1:9" ht="12.75" customHeight="1">
      <c r="A89" s="396"/>
      <c r="B89" s="131" t="s">
        <v>327</v>
      </c>
      <c r="C89" s="132">
        <f>(1.05*H6)</f>
        <v>1.2809999999999999</v>
      </c>
      <c r="D89" s="132">
        <f>(6.48*I6)</f>
        <v>8.1648000000000014</v>
      </c>
      <c r="E89" s="133">
        <v>1</v>
      </c>
      <c r="F89" s="134">
        <f t="shared" si="2"/>
        <v>9.445800000000002</v>
      </c>
      <c r="G89" s="401"/>
      <c r="I89" s="170"/>
    </row>
    <row r="90" spans="1:9" ht="12.75" customHeight="1">
      <c r="A90" s="396"/>
      <c r="B90" s="131" t="s">
        <v>328</v>
      </c>
      <c r="C90" s="132">
        <f>(1.77*H6)</f>
        <v>2.1593999999999998</v>
      </c>
      <c r="D90" s="132">
        <f>(10.91*I6)</f>
        <v>13.746600000000001</v>
      </c>
      <c r="E90" s="133">
        <v>1</v>
      </c>
      <c r="F90" s="134">
        <f t="shared" si="2"/>
        <v>15.906000000000001</v>
      </c>
      <c r="G90" s="401"/>
      <c r="I90" s="170"/>
    </row>
    <row r="91" spans="1:9" ht="12.75" customHeight="1">
      <c r="A91" s="396"/>
      <c r="B91" s="131" t="s">
        <v>329</v>
      </c>
      <c r="C91" s="132">
        <f>(2.53*H6)</f>
        <v>3.0865999999999998</v>
      </c>
      <c r="D91" s="132">
        <f>(3.41*I6)</f>
        <v>4.2966000000000006</v>
      </c>
      <c r="E91" s="133">
        <v>1</v>
      </c>
      <c r="F91" s="134">
        <f t="shared" si="2"/>
        <v>7.3832000000000004</v>
      </c>
      <c r="G91" s="401"/>
      <c r="I91" s="170"/>
    </row>
    <row r="92" spans="1:9" ht="12.75" customHeight="1">
      <c r="A92" s="396"/>
      <c r="B92" s="131" t="s">
        <v>330</v>
      </c>
      <c r="C92" s="132">
        <f>(2.78*H6)</f>
        <v>3.3915999999999995</v>
      </c>
      <c r="D92" s="132">
        <f>(3.75*I6)</f>
        <v>4.7249999999999996</v>
      </c>
      <c r="E92" s="133">
        <v>1</v>
      </c>
      <c r="F92" s="134">
        <f t="shared" si="2"/>
        <v>8.1165999999999983</v>
      </c>
      <c r="G92" s="401"/>
      <c r="I92" s="170"/>
    </row>
    <row r="93" spans="1:9" ht="12.75" customHeight="1">
      <c r="A93" s="396"/>
      <c r="B93" s="131" t="s">
        <v>331</v>
      </c>
      <c r="C93" s="132">
        <f>(47.37*H6)</f>
        <v>57.791399999999996</v>
      </c>
      <c r="D93" s="132">
        <f>(4.3*I6)</f>
        <v>5.4180000000000001</v>
      </c>
      <c r="E93" s="133">
        <v>1</v>
      </c>
      <c r="F93" s="134">
        <f t="shared" si="2"/>
        <v>63.209399999999995</v>
      </c>
      <c r="G93" s="401"/>
      <c r="I93" s="170"/>
    </row>
    <row r="94" spans="1:9" ht="12.75" customHeight="1">
      <c r="A94" s="396"/>
      <c r="B94" s="131" t="s">
        <v>332</v>
      </c>
      <c r="C94" s="132">
        <f>(0.14*H6)</f>
        <v>0.17080000000000001</v>
      </c>
      <c r="D94" s="132">
        <f>(0.64*I6)</f>
        <v>0.80640000000000001</v>
      </c>
      <c r="E94" s="133">
        <v>1</v>
      </c>
      <c r="F94" s="134">
        <f t="shared" si="2"/>
        <v>0.97720000000000007</v>
      </c>
      <c r="G94" s="401"/>
      <c r="I94" s="170"/>
    </row>
    <row r="95" spans="1:9" ht="12.75" customHeight="1">
      <c r="A95" s="396"/>
      <c r="B95" s="131" t="s">
        <v>333</v>
      </c>
      <c r="C95" s="132">
        <f>(0.18*H6)</f>
        <v>0.21959999999999999</v>
      </c>
      <c r="D95" s="132">
        <f>(0.85*I6)</f>
        <v>1.071</v>
      </c>
      <c r="E95" s="133">
        <v>1</v>
      </c>
      <c r="F95" s="134">
        <f t="shared" si="2"/>
        <v>1.2906</v>
      </c>
      <c r="G95" s="401"/>
      <c r="I95" s="170"/>
    </row>
    <row r="96" spans="1:9" ht="12.75" customHeight="1">
      <c r="A96" s="397"/>
      <c r="B96" s="131" t="s">
        <v>334</v>
      </c>
      <c r="C96" s="132">
        <f>(4.34*H6)</f>
        <v>5.2947999999999995</v>
      </c>
      <c r="D96" s="132">
        <f>(9.12*I6)</f>
        <v>11.491199999999999</v>
      </c>
      <c r="E96" s="133">
        <v>1</v>
      </c>
      <c r="F96" s="134">
        <f t="shared" si="2"/>
        <v>16.785999999999998</v>
      </c>
      <c r="G96" s="401"/>
      <c r="I96" s="170"/>
    </row>
    <row r="97" spans="1:13" ht="12.75" customHeight="1">
      <c r="A97" s="128"/>
      <c r="B97" s="393"/>
      <c r="C97" s="393"/>
      <c r="D97" s="393"/>
      <c r="E97" s="393"/>
      <c r="F97" s="393"/>
      <c r="G97" s="401"/>
      <c r="I97" s="170"/>
      <c r="K97" s="170"/>
      <c r="L97" s="170"/>
    </row>
    <row r="98" spans="1:13" ht="15" customHeight="1">
      <c r="A98" s="135" t="s">
        <v>389</v>
      </c>
      <c r="B98" s="394" t="s">
        <v>398</v>
      </c>
      <c r="C98" s="394"/>
      <c r="D98" s="394"/>
      <c r="E98" s="394"/>
      <c r="F98" s="394"/>
      <c r="G98" s="401"/>
      <c r="I98" s="170"/>
      <c r="K98" s="170"/>
      <c r="L98" s="170"/>
    </row>
    <row r="99" spans="1:13" ht="12.75" customHeight="1">
      <c r="A99" s="395"/>
      <c r="B99" s="131" t="s">
        <v>335</v>
      </c>
      <c r="C99" s="132">
        <f>(5.3*H6)</f>
        <v>6.4659999999999993</v>
      </c>
      <c r="D99" s="132">
        <f>(15.85*I6)</f>
        <v>19.971</v>
      </c>
      <c r="E99" s="133">
        <v>1</v>
      </c>
      <c r="F99" s="134">
        <f t="shared" ref="F99:F111" si="3">(C99+D99)*E99</f>
        <v>26.436999999999998</v>
      </c>
      <c r="G99" s="401"/>
      <c r="I99" s="170"/>
      <c r="K99" s="170"/>
      <c r="L99" s="170"/>
    </row>
    <row r="100" spans="1:13" ht="12.75" customHeight="1">
      <c r="A100" s="396"/>
      <c r="B100" s="131" t="s">
        <v>336</v>
      </c>
      <c r="C100" s="132">
        <f>(5.15*H6)</f>
        <v>6.2830000000000004</v>
      </c>
      <c r="D100" s="132">
        <f>(8.82*I6)</f>
        <v>11.113200000000001</v>
      </c>
      <c r="E100" s="133">
        <v>1</v>
      </c>
      <c r="F100" s="134">
        <f t="shared" si="3"/>
        <v>17.3962</v>
      </c>
      <c r="G100" s="401"/>
      <c r="I100" s="170"/>
      <c r="K100" s="170"/>
      <c r="L100" s="170"/>
    </row>
    <row r="101" spans="1:13" ht="12.75" customHeight="1">
      <c r="A101" s="396"/>
      <c r="B101" s="131" t="s">
        <v>337</v>
      </c>
      <c r="C101" s="132">
        <f>(17.31*H6)</f>
        <v>21.118199999999998</v>
      </c>
      <c r="D101" s="132">
        <f>(9.55*I6)</f>
        <v>12.033000000000001</v>
      </c>
      <c r="E101" s="133">
        <v>1</v>
      </c>
      <c r="F101" s="134">
        <f t="shared" si="3"/>
        <v>33.151200000000003</v>
      </c>
      <c r="G101" s="401"/>
      <c r="I101" s="170"/>
      <c r="K101" s="170"/>
      <c r="L101" s="170"/>
      <c r="M101" s="423"/>
    </row>
    <row r="102" spans="1:13" ht="12.75" customHeight="1">
      <c r="A102" s="396"/>
      <c r="B102" s="131" t="s">
        <v>338</v>
      </c>
      <c r="C102" s="132">
        <f>(47.91*H6)</f>
        <v>58.450199999999995</v>
      </c>
      <c r="D102" s="132">
        <f>(25.69*I6)</f>
        <v>32.369399999999999</v>
      </c>
      <c r="E102" s="133">
        <v>1</v>
      </c>
      <c r="F102" s="134">
        <f t="shared" si="3"/>
        <v>90.819599999999994</v>
      </c>
      <c r="G102" s="401"/>
      <c r="I102" s="170"/>
      <c r="K102" s="170"/>
      <c r="L102" s="170"/>
    </row>
    <row r="103" spans="1:13" ht="12.75" customHeight="1">
      <c r="A103" s="396"/>
      <c r="B103" s="131" t="s">
        <v>339</v>
      </c>
      <c r="C103" s="132">
        <f>(24.73*H6)</f>
        <v>30.1706</v>
      </c>
      <c r="D103" s="132">
        <f>(13.64*I6)</f>
        <v>17.186400000000003</v>
      </c>
      <c r="E103" s="133">
        <v>1</v>
      </c>
      <c r="F103" s="134">
        <f t="shared" si="3"/>
        <v>47.356999999999999</v>
      </c>
      <c r="G103" s="401"/>
      <c r="I103" s="170"/>
      <c r="K103" s="170"/>
      <c r="L103" s="170"/>
    </row>
    <row r="104" spans="1:13" ht="12.75" customHeight="1">
      <c r="A104" s="396"/>
      <c r="B104" s="131" t="s">
        <v>340</v>
      </c>
      <c r="C104" s="132">
        <f>(3.46*H6)</f>
        <v>4.2211999999999996</v>
      </c>
      <c r="D104" s="132">
        <f>(1.91*I6)</f>
        <v>2.4066000000000001</v>
      </c>
      <c r="E104" s="133">
        <v>1</v>
      </c>
      <c r="F104" s="134">
        <f t="shared" si="3"/>
        <v>6.6277999999999997</v>
      </c>
      <c r="G104" s="401"/>
      <c r="I104" s="170"/>
      <c r="K104" s="170"/>
      <c r="L104" s="170"/>
    </row>
    <row r="105" spans="1:13" ht="12.75" customHeight="1">
      <c r="A105" s="396"/>
      <c r="B105" s="131" t="s">
        <v>341</v>
      </c>
      <c r="C105" s="132">
        <f>(3.71*H6)</f>
        <v>4.5262000000000002</v>
      </c>
      <c r="D105" s="132">
        <f>(2.05*I6)</f>
        <v>2.5829999999999997</v>
      </c>
      <c r="E105" s="133">
        <v>1</v>
      </c>
      <c r="F105" s="134">
        <f t="shared" si="3"/>
        <v>7.1091999999999995</v>
      </c>
      <c r="G105" s="401"/>
      <c r="I105" s="170"/>
      <c r="K105" s="170"/>
      <c r="L105" s="170"/>
    </row>
    <row r="106" spans="1:13" ht="12.75" customHeight="1">
      <c r="A106" s="396"/>
      <c r="B106" s="131" t="s">
        <v>342</v>
      </c>
      <c r="C106" s="132">
        <f>(1.85*H6)</f>
        <v>2.2570000000000001</v>
      </c>
      <c r="D106" s="132">
        <f>(1.02*I6)</f>
        <v>1.2852000000000001</v>
      </c>
      <c r="E106" s="133">
        <v>1</v>
      </c>
      <c r="F106" s="134">
        <f t="shared" si="3"/>
        <v>3.5422000000000002</v>
      </c>
      <c r="G106" s="401"/>
      <c r="I106" s="170"/>
      <c r="K106" s="170"/>
      <c r="L106" s="170"/>
    </row>
    <row r="107" spans="1:13" ht="12.75" customHeight="1">
      <c r="A107" s="396"/>
      <c r="B107" s="131" t="s">
        <v>343</v>
      </c>
      <c r="C107" s="132">
        <f>(22.26*H6)</f>
        <v>27.1572</v>
      </c>
      <c r="D107" s="132">
        <f>(12.28*I6)</f>
        <v>15.472799999999999</v>
      </c>
      <c r="E107" s="133">
        <v>1</v>
      </c>
      <c r="F107" s="134">
        <f t="shared" si="3"/>
        <v>42.629999999999995</v>
      </c>
      <c r="G107" s="401"/>
      <c r="I107" s="170"/>
      <c r="K107" s="170"/>
      <c r="L107" s="170"/>
    </row>
    <row r="108" spans="1:13" ht="12.75" customHeight="1">
      <c r="A108" s="396"/>
      <c r="B108" s="131" t="s">
        <v>344</v>
      </c>
      <c r="C108" s="132">
        <f>(8.27*H6)</f>
        <v>10.089399999999999</v>
      </c>
      <c r="D108" s="132">
        <f>(21.31*I6)</f>
        <v>26.8506</v>
      </c>
      <c r="E108" s="133">
        <v>1</v>
      </c>
      <c r="F108" s="134">
        <f t="shared" si="3"/>
        <v>36.94</v>
      </c>
      <c r="G108" s="401"/>
      <c r="I108" s="170"/>
      <c r="K108" s="170"/>
      <c r="L108" s="170"/>
    </row>
    <row r="109" spans="1:13" ht="12.75" customHeight="1">
      <c r="A109" s="396"/>
      <c r="B109" s="131" t="s">
        <v>345</v>
      </c>
      <c r="C109" s="132">
        <f>(9.89*H6)</f>
        <v>12.065800000000001</v>
      </c>
      <c r="D109" s="132">
        <f>(5.46*I6)</f>
        <v>6.8795999999999999</v>
      </c>
      <c r="E109" s="133">
        <v>1</v>
      </c>
      <c r="F109" s="134">
        <f t="shared" si="3"/>
        <v>18.945399999999999</v>
      </c>
      <c r="G109" s="401"/>
      <c r="I109" s="170"/>
      <c r="K109" s="170"/>
      <c r="L109" s="170"/>
    </row>
    <row r="110" spans="1:13" ht="12.75" customHeight="1">
      <c r="A110" s="396"/>
      <c r="B110" s="131" t="s">
        <v>346</v>
      </c>
      <c r="C110" s="132">
        <f>(9.89*H6)</f>
        <v>12.065800000000001</v>
      </c>
      <c r="D110" s="132">
        <f>(5.46*I6)</f>
        <v>6.8795999999999999</v>
      </c>
      <c r="E110" s="133">
        <v>1</v>
      </c>
      <c r="F110" s="134">
        <f t="shared" si="3"/>
        <v>18.945399999999999</v>
      </c>
      <c r="G110" s="401"/>
      <c r="I110" s="170"/>
      <c r="K110" s="170"/>
      <c r="L110" s="170"/>
    </row>
    <row r="111" spans="1:13" ht="12.75" customHeight="1">
      <c r="A111" s="397"/>
      <c r="B111" s="131" t="s">
        <v>347</v>
      </c>
      <c r="C111" s="132">
        <f>(3.71*H6)</f>
        <v>4.5262000000000002</v>
      </c>
      <c r="D111" s="132">
        <f>(2.1*I6)</f>
        <v>2.6460000000000004</v>
      </c>
      <c r="E111" s="133">
        <v>1</v>
      </c>
      <c r="F111" s="134">
        <f t="shared" si="3"/>
        <v>7.1722000000000001</v>
      </c>
      <c r="G111" s="401"/>
      <c r="I111" s="170"/>
      <c r="K111" s="170"/>
      <c r="L111" s="170"/>
    </row>
    <row r="112" spans="1:13" ht="12.75" customHeight="1">
      <c r="A112" s="128"/>
      <c r="B112" s="393"/>
      <c r="C112" s="393"/>
      <c r="D112" s="393"/>
      <c r="E112" s="393"/>
      <c r="F112" s="393"/>
      <c r="G112" s="401"/>
      <c r="I112" s="170"/>
      <c r="K112" s="170"/>
      <c r="L112" s="170"/>
    </row>
    <row r="113" spans="1:13" ht="15" customHeight="1">
      <c r="A113" s="135" t="s">
        <v>389</v>
      </c>
      <c r="B113" s="394" t="s">
        <v>400</v>
      </c>
      <c r="C113" s="394"/>
      <c r="D113" s="394"/>
      <c r="E113" s="394"/>
      <c r="F113" s="394"/>
      <c r="G113" s="401"/>
      <c r="I113" s="170"/>
      <c r="K113" s="170"/>
      <c r="L113" s="170"/>
    </row>
    <row r="114" spans="1:13" ht="12.75" customHeight="1">
      <c r="A114" s="398"/>
      <c r="B114" s="131" t="s">
        <v>348</v>
      </c>
      <c r="C114" s="132">
        <f>(1.47*H6)</f>
        <v>1.7933999999999999</v>
      </c>
      <c r="D114" s="132">
        <f>(4.48*I6)</f>
        <v>5.6448000000000009</v>
      </c>
      <c r="E114" s="133">
        <v>1</v>
      </c>
      <c r="F114" s="134">
        <f>(C114+D114)*E114</f>
        <v>7.438200000000001</v>
      </c>
      <c r="G114" s="401"/>
      <c r="I114" s="170"/>
      <c r="K114" s="170"/>
      <c r="L114" s="170"/>
    </row>
    <row r="115" spans="1:13" ht="12.75" customHeight="1">
      <c r="A115" s="398"/>
      <c r="B115" s="131" t="s">
        <v>349</v>
      </c>
      <c r="C115" s="132">
        <f>(3.91*H6)</f>
        <v>4.7702</v>
      </c>
      <c r="D115" s="132">
        <f>(11.94*I6)</f>
        <v>15.0444</v>
      </c>
      <c r="E115" s="133">
        <v>1</v>
      </c>
      <c r="F115" s="134">
        <f>(C115+D115)*E115</f>
        <v>19.814599999999999</v>
      </c>
      <c r="G115" s="401"/>
      <c r="I115" s="170"/>
      <c r="K115" s="170"/>
      <c r="L115" s="170"/>
    </row>
    <row r="116" spans="1:13" ht="12.75" customHeight="1">
      <c r="A116" s="128"/>
      <c r="B116" s="393"/>
      <c r="C116" s="393"/>
      <c r="D116" s="393"/>
      <c r="E116" s="393"/>
      <c r="F116" s="393"/>
      <c r="G116" s="401"/>
      <c r="I116" s="170"/>
      <c r="K116" s="170"/>
      <c r="L116" s="170"/>
    </row>
    <row r="117" spans="1:13" ht="15" customHeight="1">
      <c r="A117" s="135" t="s">
        <v>389</v>
      </c>
      <c r="B117" s="394" t="s">
        <v>401</v>
      </c>
      <c r="C117" s="394"/>
      <c r="D117" s="394"/>
      <c r="E117" s="394"/>
      <c r="F117" s="394"/>
      <c r="G117" s="401"/>
      <c r="I117" s="170"/>
      <c r="K117" s="170"/>
      <c r="L117" s="170"/>
    </row>
    <row r="118" spans="1:13" ht="12.75" customHeight="1">
      <c r="A118" s="398"/>
      <c r="B118" s="131" t="s">
        <v>350</v>
      </c>
      <c r="C118" s="132">
        <f>(3.04*H6)</f>
        <v>3.7088000000000001</v>
      </c>
      <c r="D118" s="132">
        <f>(4.26*I6)</f>
        <v>5.3675999999999995</v>
      </c>
      <c r="E118" s="133">
        <v>1</v>
      </c>
      <c r="F118" s="134">
        <f>(C118+D118)*E118</f>
        <v>9.0763999999999996</v>
      </c>
      <c r="G118" s="401"/>
      <c r="I118" s="170"/>
      <c r="K118" s="170"/>
      <c r="L118" s="170"/>
    </row>
    <row r="119" spans="1:13" ht="12.75" customHeight="1">
      <c r="A119" s="398"/>
      <c r="B119" s="393"/>
      <c r="C119" s="393"/>
      <c r="D119" s="393"/>
      <c r="E119" s="393"/>
      <c r="F119" s="393"/>
      <c r="G119" s="401"/>
      <c r="I119" s="170"/>
      <c r="K119" s="170"/>
      <c r="L119" s="170"/>
    </row>
    <row r="120" spans="1:13" ht="15" customHeight="1">
      <c r="A120" s="135" t="s">
        <v>389</v>
      </c>
      <c r="B120" s="394" t="s">
        <v>402</v>
      </c>
      <c r="C120" s="394"/>
      <c r="D120" s="394"/>
      <c r="E120" s="394"/>
      <c r="F120" s="394"/>
      <c r="G120" s="401"/>
      <c r="I120" s="170"/>
      <c r="K120" s="170"/>
      <c r="L120" s="170"/>
    </row>
    <row r="121" spans="1:13" ht="12.75" customHeight="1">
      <c r="A121" s="395"/>
      <c r="B121" s="131" t="s">
        <v>351</v>
      </c>
      <c r="C121" s="132">
        <f>(2.84*H6)</f>
        <v>3.4647999999999999</v>
      </c>
      <c r="D121" s="132">
        <f>(5.8*I6)</f>
        <v>7.3079999999999998</v>
      </c>
      <c r="E121" s="133">
        <v>1</v>
      </c>
      <c r="F121" s="134">
        <f>(C121+D121)*E121</f>
        <v>10.7728</v>
      </c>
      <c r="G121" s="401"/>
      <c r="I121" s="170"/>
      <c r="K121" s="170"/>
      <c r="L121" s="170"/>
    </row>
    <row r="122" spans="1:13" ht="12.75" customHeight="1">
      <c r="A122" s="396"/>
      <c r="B122" s="131" t="s">
        <v>352</v>
      </c>
      <c r="C122" s="132">
        <f>(1.86*H6)</f>
        <v>2.2692000000000001</v>
      </c>
      <c r="D122" s="132">
        <f>(4.26*I6)</f>
        <v>5.3675999999999995</v>
      </c>
      <c r="E122" s="133">
        <v>1</v>
      </c>
      <c r="F122" s="134">
        <f>(C122+D122)*E122</f>
        <v>7.6367999999999991</v>
      </c>
      <c r="G122" s="401"/>
      <c r="I122" s="170"/>
      <c r="K122" s="170"/>
      <c r="L122" s="170"/>
    </row>
    <row r="123" spans="1:13" ht="12.75" customHeight="1">
      <c r="A123" s="396"/>
      <c r="B123" s="131" t="s">
        <v>353</v>
      </c>
      <c r="C123" s="132">
        <f>(0.56*H6)</f>
        <v>0.68320000000000003</v>
      </c>
      <c r="D123" s="132">
        <f>(1.28*I6)</f>
        <v>1.6128</v>
      </c>
      <c r="E123" s="133">
        <v>1</v>
      </c>
      <c r="F123" s="134">
        <f>(C123+D123)*E123</f>
        <v>2.2960000000000003</v>
      </c>
      <c r="G123" s="401"/>
      <c r="I123" s="170"/>
      <c r="K123" s="170"/>
      <c r="L123" s="170"/>
    </row>
    <row r="124" spans="1:13" ht="12.75" customHeight="1">
      <c r="A124" s="397"/>
      <c r="B124" s="131" t="s">
        <v>354</v>
      </c>
      <c r="C124" s="132">
        <f>(1.09*H6)</f>
        <v>1.3298000000000001</v>
      </c>
      <c r="D124" s="132">
        <f>(2.22*I6)</f>
        <v>2.7972000000000001</v>
      </c>
      <c r="E124" s="133">
        <v>1</v>
      </c>
      <c r="F124" s="134">
        <f>(C124+D124)*E124</f>
        <v>4.1270000000000007</v>
      </c>
      <c r="G124" s="401"/>
      <c r="I124" s="170"/>
      <c r="K124" s="170"/>
      <c r="L124" s="170"/>
    </row>
    <row r="125" spans="1:13" ht="12.75" customHeight="1">
      <c r="A125" s="128"/>
      <c r="B125" s="393"/>
      <c r="C125" s="393"/>
      <c r="D125" s="393"/>
      <c r="E125" s="393"/>
      <c r="F125" s="393"/>
      <c r="G125" s="401"/>
      <c r="I125" s="170"/>
      <c r="K125" s="170"/>
      <c r="L125" s="170"/>
    </row>
    <row r="126" spans="1:13" ht="15" customHeight="1">
      <c r="A126" s="135" t="s">
        <v>389</v>
      </c>
      <c r="B126" s="394" t="s">
        <v>403</v>
      </c>
      <c r="C126" s="394"/>
      <c r="D126" s="394"/>
      <c r="E126" s="394"/>
      <c r="F126" s="394"/>
      <c r="G126" s="401"/>
      <c r="I126" s="170"/>
      <c r="K126" s="170"/>
      <c r="L126" s="170"/>
    </row>
    <row r="127" spans="1:13" ht="12.75" customHeight="1">
      <c r="A127" s="395"/>
      <c r="B127" s="131" t="s">
        <v>355</v>
      </c>
      <c r="C127" s="132">
        <f>(0.44*H6)</f>
        <v>0.53679999999999994</v>
      </c>
      <c r="D127" s="132">
        <f>(1.36*I6)</f>
        <v>1.7136000000000002</v>
      </c>
      <c r="E127" s="133">
        <v>1</v>
      </c>
      <c r="F127" s="134">
        <f>(C127+D127)*E127</f>
        <v>2.2504</v>
      </c>
      <c r="G127" s="401"/>
      <c r="I127" s="170"/>
      <c r="K127" s="170"/>
      <c r="L127" s="170"/>
    </row>
    <row r="128" spans="1:13" ht="12.75" customHeight="1">
      <c r="A128" s="396"/>
      <c r="B128" s="131" t="s">
        <v>356</v>
      </c>
      <c r="C128" s="132">
        <f>(1.47*H6)</f>
        <v>1.7933999999999999</v>
      </c>
      <c r="D128" s="132">
        <f>(2.02*I6)</f>
        <v>2.5451999999999999</v>
      </c>
      <c r="E128" s="133">
        <v>1</v>
      </c>
      <c r="F128" s="134">
        <f>(C128+D128)*E128</f>
        <v>4.3385999999999996</v>
      </c>
      <c r="G128" s="401"/>
      <c r="H128" s="190"/>
      <c r="I128" s="170"/>
      <c r="K128" s="170"/>
      <c r="L128" s="170"/>
      <c r="M128" s="190"/>
    </row>
    <row r="129" spans="1:14" ht="12.75" customHeight="1">
      <c r="A129" s="396"/>
      <c r="B129" s="131" t="s">
        <v>357</v>
      </c>
      <c r="C129" s="132">
        <f>(2.94*H6)</f>
        <v>3.5867999999999998</v>
      </c>
      <c r="D129" s="132">
        <f>(4.03*I6)</f>
        <v>5.0778000000000008</v>
      </c>
      <c r="E129" s="133">
        <v>1</v>
      </c>
      <c r="F129" s="134">
        <f>(C129+D129)*E129</f>
        <v>8.6646000000000001</v>
      </c>
      <c r="G129" s="401"/>
      <c r="I129" s="170"/>
      <c r="K129" s="170"/>
      <c r="L129" s="170"/>
    </row>
    <row r="130" spans="1:14" ht="12.75" customHeight="1">
      <c r="A130" s="396"/>
      <c r="B130" s="131" t="s">
        <v>358</v>
      </c>
      <c r="C130" s="132">
        <f>(3.92*H6)</f>
        <v>4.7824</v>
      </c>
      <c r="D130" s="132">
        <f>(5.38*I6)</f>
        <v>6.7787999999999995</v>
      </c>
      <c r="E130" s="133">
        <v>1</v>
      </c>
      <c r="F130" s="134">
        <f>(C130+D130)*E130</f>
        <v>11.561199999999999</v>
      </c>
      <c r="G130" s="401"/>
      <c r="I130" s="170"/>
      <c r="K130" s="170"/>
      <c r="L130" s="170"/>
    </row>
    <row r="131" spans="1:14" ht="12.75" customHeight="1">
      <c r="A131" s="397"/>
      <c r="B131" s="131" t="s">
        <v>92</v>
      </c>
      <c r="C131" s="132">
        <f>(5.39*H6)</f>
        <v>6.5757999999999992</v>
      </c>
      <c r="D131" s="132">
        <f>(7.4*I6)</f>
        <v>9.3239999999999998</v>
      </c>
      <c r="E131" s="133">
        <v>1</v>
      </c>
      <c r="F131" s="134">
        <f>(C131+D131)*E131</f>
        <v>15.899799999999999</v>
      </c>
      <c r="G131" s="401"/>
      <c r="I131" s="170"/>
      <c r="K131" s="170"/>
      <c r="L131" s="170"/>
    </row>
    <row r="132" spans="1:14" ht="12.75" customHeight="1">
      <c r="A132" s="128"/>
      <c r="B132" s="393"/>
      <c r="C132" s="393"/>
      <c r="D132" s="393"/>
      <c r="E132" s="393"/>
      <c r="F132" s="393"/>
      <c r="G132" s="401"/>
      <c r="I132" s="170"/>
      <c r="K132" s="170"/>
      <c r="L132" s="170"/>
    </row>
    <row r="133" spans="1:14" ht="15" customHeight="1">
      <c r="A133" s="135" t="s">
        <v>389</v>
      </c>
      <c r="B133" s="394" t="s">
        <v>404</v>
      </c>
      <c r="C133" s="394"/>
      <c r="D133" s="394"/>
      <c r="E133" s="394"/>
      <c r="F133" s="394"/>
      <c r="G133" s="401"/>
      <c r="I133" s="170"/>
      <c r="K133" s="170"/>
      <c r="L133" s="170"/>
    </row>
    <row r="134" spans="1:14" ht="15" customHeight="1">
      <c r="A134" s="395"/>
      <c r="B134" s="131" t="s">
        <v>359</v>
      </c>
      <c r="C134" s="132">
        <f>(6.53*H6)</f>
        <v>7.9666000000000006</v>
      </c>
      <c r="D134" s="132">
        <f>(1.36*I6)</f>
        <v>1.7136000000000002</v>
      </c>
      <c r="E134" s="133">
        <v>1</v>
      </c>
      <c r="F134" s="134">
        <f t="shared" ref="F134:F154" si="4">(C134+D134)*E134</f>
        <v>9.680200000000001</v>
      </c>
      <c r="G134" s="401"/>
      <c r="I134" s="170"/>
      <c r="K134" s="170"/>
      <c r="L134" s="170"/>
      <c r="M134" s="170"/>
      <c r="N134" s="191"/>
    </row>
    <row r="135" spans="1:14" ht="15" customHeight="1">
      <c r="A135" s="396"/>
      <c r="B135" s="131" t="s">
        <v>360</v>
      </c>
      <c r="C135" s="132">
        <f>(8.84*H6)</f>
        <v>10.784799999999999</v>
      </c>
      <c r="D135" s="132">
        <f>(1.78*I6)</f>
        <v>2.2427999999999999</v>
      </c>
      <c r="E135" s="133">
        <v>1</v>
      </c>
      <c r="F135" s="134">
        <f t="shared" si="4"/>
        <v>13.0276</v>
      </c>
      <c r="G135" s="401"/>
      <c r="I135" s="170"/>
      <c r="K135" s="170"/>
      <c r="L135" s="170"/>
      <c r="M135" s="170"/>
      <c r="N135" s="192"/>
    </row>
    <row r="136" spans="1:14" ht="15" customHeight="1">
      <c r="A136" s="396"/>
      <c r="B136" s="131" t="s">
        <v>361</v>
      </c>
      <c r="C136" s="132">
        <f>(9.05*H6)</f>
        <v>11.041</v>
      </c>
      <c r="D136" s="132">
        <f>(1.76*I6)</f>
        <v>2.2176</v>
      </c>
      <c r="E136" s="133">
        <v>1</v>
      </c>
      <c r="F136" s="134">
        <f t="shared" si="4"/>
        <v>13.258600000000001</v>
      </c>
      <c r="G136" s="401"/>
      <c r="I136" s="170"/>
      <c r="K136" s="170"/>
      <c r="L136" s="170"/>
      <c r="M136" s="170"/>
    </row>
    <row r="137" spans="1:14" ht="15" customHeight="1">
      <c r="A137" s="396"/>
      <c r="B137" s="131" t="s">
        <v>362</v>
      </c>
      <c r="C137" s="132">
        <f>(10.68*H6)</f>
        <v>13.029599999999999</v>
      </c>
      <c r="D137" s="132">
        <f>(2.55*I6)</f>
        <v>3.2129999999999996</v>
      </c>
      <c r="E137" s="133">
        <v>1</v>
      </c>
      <c r="F137" s="134">
        <f t="shared" si="4"/>
        <v>16.242599999999999</v>
      </c>
      <c r="G137" s="401"/>
      <c r="I137" s="170"/>
      <c r="K137" s="170"/>
      <c r="L137" s="170"/>
      <c r="M137" s="170"/>
      <c r="N137" s="192"/>
    </row>
    <row r="138" spans="1:14" ht="15" customHeight="1">
      <c r="A138" s="396"/>
      <c r="B138" s="131" t="s">
        <v>363</v>
      </c>
      <c r="C138" s="132">
        <f>(14.25*H6)</f>
        <v>17.384999999999998</v>
      </c>
      <c r="D138" s="132">
        <f>(2.8*I6)</f>
        <v>3.5279999999999996</v>
      </c>
      <c r="E138" s="133">
        <v>1</v>
      </c>
      <c r="F138" s="134">
        <f t="shared" si="4"/>
        <v>20.912999999999997</v>
      </c>
      <c r="G138" s="401"/>
      <c r="I138" s="170"/>
      <c r="K138" s="170"/>
      <c r="L138" s="170"/>
      <c r="M138" s="170"/>
      <c r="N138" s="192"/>
    </row>
    <row r="139" spans="1:14" ht="15" customHeight="1">
      <c r="A139" s="396"/>
      <c r="B139" s="131" t="s">
        <v>364</v>
      </c>
      <c r="C139" s="132">
        <f>(15.84*H6)</f>
        <v>19.3248</v>
      </c>
      <c r="D139" s="132">
        <f>(3.53*I6)</f>
        <v>4.4478</v>
      </c>
      <c r="E139" s="133">
        <v>1</v>
      </c>
      <c r="F139" s="134">
        <f t="shared" si="4"/>
        <v>23.772600000000001</v>
      </c>
      <c r="G139" s="401"/>
      <c r="I139" s="170"/>
      <c r="K139" s="170"/>
      <c r="L139" s="170"/>
      <c r="M139" s="170"/>
      <c r="N139" s="192"/>
    </row>
    <row r="140" spans="1:14" ht="15" customHeight="1">
      <c r="A140" s="396"/>
      <c r="B140" s="131" t="s">
        <v>365</v>
      </c>
      <c r="C140" s="132">
        <f>(18.31*H6)</f>
        <v>22.338199999999997</v>
      </c>
      <c r="D140" s="132">
        <f>(3.84*I6)</f>
        <v>4.8384</v>
      </c>
      <c r="E140" s="133">
        <v>1</v>
      </c>
      <c r="F140" s="134">
        <f t="shared" si="4"/>
        <v>27.176599999999997</v>
      </c>
      <c r="G140" s="401"/>
      <c r="I140" s="170"/>
      <c r="K140" s="170"/>
      <c r="L140" s="170"/>
      <c r="M140" s="170"/>
    </row>
    <row r="141" spans="1:14" ht="15" customHeight="1">
      <c r="A141" s="396"/>
      <c r="B141" s="131" t="s">
        <v>366</v>
      </c>
      <c r="C141" s="132">
        <f>(19.5*H6)</f>
        <v>23.79</v>
      </c>
      <c r="D141" s="132">
        <f>(3.93*I6)</f>
        <v>4.9518000000000004</v>
      </c>
      <c r="E141" s="133">
        <v>1</v>
      </c>
      <c r="F141" s="134">
        <f t="shared" si="4"/>
        <v>28.741799999999998</v>
      </c>
      <c r="G141" s="401"/>
      <c r="I141" s="170"/>
      <c r="K141" s="170"/>
      <c r="L141" s="170"/>
      <c r="M141" s="170"/>
    </row>
    <row r="142" spans="1:14" ht="15" customHeight="1">
      <c r="A142" s="396"/>
      <c r="B142" s="131" t="s">
        <v>367</v>
      </c>
      <c r="C142" s="132">
        <f>(20.82*H6)</f>
        <v>25.400400000000001</v>
      </c>
      <c r="D142" s="132">
        <f>(4.21*I6)</f>
        <v>5.3045999999999998</v>
      </c>
      <c r="E142" s="133">
        <v>1</v>
      </c>
      <c r="F142" s="134">
        <f t="shared" si="4"/>
        <v>30.705000000000002</v>
      </c>
      <c r="G142" s="401"/>
      <c r="I142" s="170"/>
      <c r="K142" s="170"/>
      <c r="L142" s="170"/>
      <c r="M142" s="170"/>
    </row>
    <row r="143" spans="1:14" ht="15" customHeight="1">
      <c r="A143" s="396"/>
      <c r="B143" s="131" t="s">
        <v>368</v>
      </c>
      <c r="C143" s="132">
        <f>(22.09*H6)</f>
        <v>26.9498</v>
      </c>
      <c r="D143" s="132">
        <f>(4.44*I6)</f>
        <v>5.5944000000000003</v>
      </c>
      <c r="E143" s="133">
        <v>1</v>
      </c>
      <c r="F143" s="134">
        <f t="shared" si="4"/>
        <v>32.544200000000004</v>
      </c>
      <c r="G143" s="401"/>
      <c r="I143" s="170"/>
      <c r="K143" s="170"/>
      <c r="L143" s="170"/>
      <c r="M143" s="170"/>
    </row>
    <row r="144" spans="1:14" ht="15" customHeight="1">
      <c r="A144" s="396"/>
      <c r="B144" s="131" t="s">
        <v>369</v>
      </c>
      <c r="C144" s="132">
        <f>(24.84*H6)</f>
        <v>30.3048</v>
      </c>
      <c r="D144" s="132">
        <f>(5.2*I6)</f>
        <v>6.5520000000000005</v>
      </c>
      <c r="E144" s="133">
        <v>1</v>
      </c>
      <c r="F144" s="134">
        <f t="shared" si="4"/>
        <v>36.8568</v>
      </c>
      <c r="G144" s="401"/>
      <c r="I144" s="170"/>
      <c r="K144" s="170"/>
      <c r="L144" s="170"/>
      <c r="M144" s="170"/>
    </row>
    <row r="145" spans="1:14" ht="15" customHeight="1">
      <c r="A145" s="396"/>
      <c r="B145" s="131" t="s">
        <v>94</v>
      </c>
      <c r="C145" s="132">
        <f>(26.3*H6)</f>
        <v>32.085999999999999</v>
      </c>
      <c r="D145" s="132">
        <f>(5.73*I6)</f>
        <v>7.2198000000000002</v>
      </c>
      <c r="E145" s="133">
        <v>1</v>
      </c>
      <c r="F145" s="134">
        <f t="shared" si="4"/>
        <v>39.305799999999998</v>
      </c>
      <c r="G145" s="401"/>
      <c r="I145" s="170"/>
      <c r="K145" s="170"/>
      <c r="L145" s="170"/>
      <c r="M145" s="170"/>
    </row>
    <row r="146" spans="1:14" ht="15" customHeight="1">
      <c r="A146" s="396"/>
      <c r="B146" s="131" t="s">
        <v>370</v>
      </c>
      <c r="C146" s="132">
        <f>(28.65*H6)</f>
        <v>34.952999999999996</v>
      </c>
      <c r="D146" s="132">
        <f>(5.83*I6)</f>
        <v>7.3458000000000006</v>
      </c>
      <c r="E146" s="133">
        <v>1</v>
      </c>
      <c r="F146" s="134">
        <f t="shared" si="4"/>
        <v>42.2988</v>
      </c>
      <c r="G146" s="401"/>
      <c r="I146" s="170"/>
      <c r="K146" s="170"/>
      <c r="L146" s="170"/>
      <c r="M146" s="170"/>
    </row>
    <row r="147" spans="1:14" ht="15" customHeight="1">
      <c r="A147" s="396"/>
      <c r="B147" s="131" t="s">
        <v>371</v>
      </c>
      <c r="C147" s="132">
        <f>(32.48*H6)</f>
        <v>39.625599999999999</v>
      </c>
      <c r="D147" s="132">
        <f>(6.5*I6)</f>
        <v>8.19</v>
      </c>
      <c r="E147" s="133">
        <v>1</v>
      </c>
      <c r="F147" s="134">
        <f t="shared" si="4"/>
        <v>47.815599999999996</v>
      </c>
      <c r="G147" s="401"/>
      <c r="I147" s="170"/>
      <c r="K147" s="170"/>
      <c r="L147" s="170"/>
      <c r="M147" s="170"/>
    </row>
    <row r="148" spans="1:14" ht="15" customHeight="1">
      <c r="A148" s="396"/>
      <c r="B148" s="131" t="s">
        <v>372</v>
      </c>
      <c r="C148" s="132">
        <f>(33.72*H6)</f>
        <v>41.138399999999997</v>
      </c>
      <c r="D148" s="132">
        <f>(6.68*I6)</f>
        <v>8.4168000000000003</v>
      </c>
      <c r="E148" s="133">
        <v>1</v>
      </c>
      <c r="F148" s="134">
        <f t="shared" si="4"/>
        <v>49.555199999999999</v>
      </c>
      <c r="G148" s="401"/>
      <c r="I148" s="170"/>
      <c r="K148" s="170"/>
      <c r="L148" s="170"/>
      <c r="M148" s="170"/>
    </row>
    <row r="149" spans="1:14" ht="15" customHeight="1">
      <c r="A149" s="396"/>
      <c r="B149" s="131" t="s">
        <v>373</v>
      </c>
      <c r="C149" s="132">
        <f>(36.23*H6)</f>
        <v>44.200599999999994</v>
      </c>
      <c r="D149" s="132">
        <f>(7.05*I6)</f>
        <v>8.8829999999999991</v>
      </c>
      <c r="E149" s="133">
        <v>1</v>
      </c>
      <c r="F149" s="134">
        <f t="shared" si="4"/>
        <v>53.08359999999999</v>
      </c>
      <c r="G149" s="401"/>
      <c r="I149" s="170"/>
      <c r="K149" s="170"/>
      <c r="L149" s="170"/>
      <c r="M149" s="423"/>
    </row>
    <row r="150" spans="1:14" ht="15" customHeight="1">
      <c r="A150" s="396"/>
      <c r="B150" s="131" t="s">
        <v>374</v>
      </c>
      <c r="C150" s="132">
        <f>(38.73*H6)</f>
        <v>47.250599999999999</v>
      </c>
      <c r="D150" s="132">
        <f>(7.41*I6)</f>
        <v>9.3366000000000007</v>
      </c>
      <c r="E150" s="133">
        <v>1</v>
      </c>
      <c r="F150" s="134">
        <f t="shared" si="4"/>
        <v>56.587199999999996</v>
      </c>
      <c r="G150" s="401"/>
      <c r="I150" s="170"/>
      <c r="K150" s="170"/>
      <c r="L150" s="170"/>
      <c r="M150" s="423"/>
    </row>
    <row r="151" spans="1:14" ht="15" customHeight="1">
      <c r="A151" s="396"/>
      <c r="B151" s="131" t="s">
        <v>375</v>
      </c>
      <c r="C151" s="132">
        <f>(41.61*H6)</f>
        <v>50.764199999999995</v>
      </c>
      <c r="D151" s="132">
        <f>(8.39*I6)</f>
        <v>10.571400000000001</v>
      </c>
      <c r="E151" s="133">
        <v>1</v>
      </c>
      <c r="F151" s="134">
        <f t="shared" si="4"/>
        <v>61.335599999999999</v>
      </c>
      <c r="G151" s="401"/>
      <c r="I151" s="170"/>
      <c r="K151" s="170"/>
      <c r="L151" s="170"/>
      <c r="M151" s="423"/>
    </row>
    <row r="152" spans="1:14" ht="15" customHeight="1">
      <c r="A152" s="396"/>
      <c r="B152" s="131" t="s">
        <v>376</v>
      </c>
      <c r="C152" s="132">
        <f>(44.11*H6)</f>
        <v>53.8142</v>
      </c>
      <c r="D152" s="132">
        <f>(8.75*I6)</f>
        <v>11.025</v>
      </c>
      <c r="E152" s="133">
        <v>1</v>
      </c>
      <c r="F152" s="134">
        <f t="shared" si="4"/>
        <v>64.839200000000005</v>
      </c>
      <c r="G152" s="401"/>
      <c r="I152" s="170"/>
      <c r="K152" s="170"/>
      <c r="L152" s="170"/>
      <c r="M152" s="423"/>
      <c r="N152" s="192"/>
    </row>
    <row r="153" spans="1:14" ht="15" customHeight="1">
      <c r="A153" s="396"/>
      <c r="B153" s="131" t="s">
        <v>101</v>
      </c>
      <c r="C153" s="132">
        <f>(46.65*H6)</f>
        <v>56.912999999999997</v>
      </c>
      <c r="D153" s="132">
        <f>(9.17*I6)</f>
        <v>11.5542</v>
      </c>
      <c r="E153" s="133">
        <v>1</v>
      </c>
      <c r="F153" s="134">
        <f t="shared" si="4"/>
        <v>68.467199999999991</v>
      </c>
      <c r="G153" s="401"/>
      <c r="I153" s="170"/>
      <c r="K153" s="170"/>
      <c r="L153" s="170"/>
      <c r="M153" s="423"/>
    </row>
    <row r="154" spans="1:14" ht="12.75" customHeight="1">
      <c r="A154" s="397"/>
      <c r="B154" s="131" t="s">
        <v>103</v>
      </c>
      <c r="C154" s="132">
        <f>(54.72*H6)</f>
        <v>66.758399999999995</v>
      </c>
      <c r="D154" s="132">
        <f>(11.18*I6)</f>
        <v>14.0868</v>
      </c>
      <c r="E154" s="133">
        <v>1</v>
      </c>
      <c r="F154" s="134">
        <f t="shared" si="4"/>
        <v>80.845199999999991</v>
      </c>
      <c r="G154" s="401"/>
      <c r="I154" s="170"/>
      <c r="K154" s="170"/>
      <c r="L154" s="170"/>
      <c r="M154" s="423"/>
    </row>
    <row r="155" spans="1:14" ht="12.75" customHeight="1">
      <c r="A155" s="128"/>
      <c r="B155" s="393"/>
      <c r="C155" s="393"/>
      <c r="D155" s="393"/>
      <c r="E155" s="393"/>
      <c r="F155" s="393"/>
      <c r="G155" s="401"/>
      <c r="I155" s="170"/>
      <c r="K155" s="170"/>
      <c r="L155" s="170"/>
    </row>
    <row r="156" spans="1:14" ht="15" customHeight="1">
      <c r="A156" s="135" t="s">
        <v>389</v>
      </c>
      <c r="B156" s="394" t="s">
        <v>405</v>
      </c>
      <c r="C156" s="394"/>
      <c r="D156" s="394"/>
      <c r="E156" s="394"/>
      <c r="F156" s="394"/>
      <c r="G156" s="401"/>
      <c r="I156" s="170"/>
      <c r="K156" s="170"/>
      <c r="L156" s="170"/>
    </row>
    <row r="157" spans="1:14" ht="12.75" customHeight="1">
      <c r="A157" s="395"/>
      <c r="B157" s="131" t="s">
        <v>377</v>
      </c>
      <c r="C157" s="132">
        <f>(57.37*H6)</f>
        <v>69.991399999999999</v>
      </c>
      <c r="D157" s="132">
        <f>(23*I6)</f>
        <v>28.98</v>
      </c>
      <c r="E157" s="133">
        <v>1</v>
      </c>
      <c r="F157" s="134">
        <f t="shared" ref="F157:F162" si="5">(C157+D157)*E157</f>
        <v>98.971400000000003</v>
      </c>
      <c r="G157" s="401"/>
      <c r="I157" s="170"/>
      <c r="K157" s="170"/>
      <c r="L157" s="170"/>
    </row>
    <row r="158" spans="1:14" ht="12.75" customHeight="1">
      <c r="A158" s="396"/>
      <c r="B158" s="131" t="s">
        <v>378</v>
      </c>
      <c r="C158" s="132">
        <f>(8.24*H6)</f>
        <v>10.0528</v>
      </c>
      <c r="D158" s="132">
        <f>(0.53*I6)</f>
        <v>0.66780000000000006</v>
      </c>
      <c r="E158" s="133">
        <v>1</v>
      </c>
      <c r="F158" s="134">
        <f t="shared" si="5"/>
        <v>10.720599999999999</v>
      </c>
      <c r="G158" s="401"/>
      <c r="I158" s="170"/>
      <c r="K158" s="170"/>
      <c r="L158" s="170"/>
    </row>
    <row r="159" spans="1:14" ht="12.75" customHeight="1">
      <c r="A159" s="396"/>
      <c r="B159" s="131" t="s">
        <v>379</v>
      </c>
      <c r="C159" s="132">
        <f>(26.24*H6)</f>
        <v>32.012799999999999</v>
      </c>
      <c r="D159" s="132">
        <f>(11.17*I6)</f>
        <v>14.074199999999999</v>
      </c>
      <c r="E159" s="133">
        <v>1</v>
      </c>
      <c r="F159" s="134">
        <f t="shared" si="5"/>
        <v>46.086999999999996</v>
      </c>
      <c r="G159" s="401"/>
      <c r="I159" s="170"/>
      <c r="K159" s="170"/>
      <c r="L159" s="170"/>
    </row>
    <row r="160" spans="1:14" ht="12.75" customHeight="1">
      <c r="A160" s="396"/>
      <c r="B160" s="131" t="s">
        <v>380</v>
      </c>
      <c r="C160" s="132">
        <f>(57.75*H6)</f>
        <v>70.454999999999998</v>
      </c>
      <c r="D160" s="132">
        <f>(12.66*I6)</f>
        <v>15.951600000000001</v>
      </c>
      <c r="E160" s="133">
        <v>1</v>
      </c>
      <c r="F160" s="134">
        <f t="shared" si="5"/>
        <v>86.406599999999997</v>
      </c>
      <c r="G160" s="401"/>
      <c r="I160" s="170"/>
      <c r="K160" s="170"/>
      <c r="L160" s="170"/>
    </row>
    <row r="161" spans="1:14" ht="12.75" customHeight="1">
      <c r="A161" s="396"/>
      <c r="B161" s="131" t="s">
        <v>381</v>
      </c>
      <c r="C161" s="132">
        <f>(81.99*H6)</f>
        <v>100.02779999999998</v>
      </c>
      <c r="D161" s="132">
        <f>(17.73*I6)</f>
        <v>22.3398</v>
      </c>
      <c r="E161" s="133">
        <v>1</v>
      </c>
      <c r="F161" s="134">
        <f t="shared" si="5"/>
        <v>122.36759999999998</v>
      </c>
      <c r="G161" s="401"/>
      <c r="I161" s="170"/>
      <c r="K161" s="170"/>
      <c r="L161" s="170"/>
    </row>
    <row r="162" spans="1:14" ht="12.75" customHeight="1">
      <c r="A162" s="397"/>
      <c r="B162" s="131" t="s">
        <v>382</v>
      </c>
      <c r="C162" s="132">
        <f>(85.87*H6)</f>
        <v>104.76140000000001</v>
      </c>
      <c r="D162" s="132">
        <f>(19.22*I6)</f>
        <v>24.217199999999998</v>
      </c>
      <c r="E162" s="133">
        <v>1</v>
      </c>
      <c r="F162" s="134">
        <f t="shared" si="5"/>
        <v>128.9786</v>
      </c>
      <c r="G162" s="401"/>
      <c r="I162" s="170"/>
      <c r="K162" s="170"/>
      <c r="L162" s="170"/>
      <c r="M162" s="170"/>
    </row>
    <row r="163" spans="1:14" ht="12.75" customHeight="1">
      <c r="A163" s="128"/>
      <c r="B163" s="393"/>
      <c r="C163" s="393"/>
      <c r="D163" s="393"/>
      <c r="E163" s="393"/>
      <c r="F163" s="393"/>
      <c r="G163" s="401"/>
      <c r="I163" s="170"/>
      <c r="K163" s="170"/>
      <c r="L163" s="170"/>
    </row>
    <row r="164" spans="1:14" ht="15" customHeight="1">
      <c r="A164" s="135" t="s">
        <v>389</v>
      </c>
      <c r="B164" s="394" t="s">
        <v>406</v>
      </c>
      <c r="C164" s="394"/>
      <c r="D164" s="394"/>
      <c r="E164" s="394"/>
      <c r="F164" s="394"/>
      <c r="G164" s="401"/>
      <c r="I164" s="170"/>
      <c r="K164" s="170"/>
      <c r="L164" s="170"/>
    </row>
    <row r="165" spans="1:14" ht="12.75" customHeight="1">
      <c r="A165" s="395"/>
      <c r="B165" s="131" t="s">
        <v>145</v>
      </c>
      <c r="C165" s="132">
        <f>(1.62*H6)</f>
        <v>1.9764000000000002</v>
      </c>
      <c r="D165" s="132">
        <f>(6.33*I6)</f>
        <v>7.9758000000000004</v>
      </c>
      <c r="E165" s="133">
        <v>1</v>
      </c>
      <c r="F165" s="134">
        <f>(C165+D165)*E165</f>
        <v>9.9522000000000013</v>
      </c>
      <c r="G165" s="401"/>
      <c r="I165" s="170"/>
      <c r="K165" s="170"/>
      <c r="L165" s="170"/>
    </row>
    <row r="166" spans="1:14" ht="12.75" customHeight="1">
      <c r="A166" s="396"/>
      <c r="B166" s="131" t="s">
        <v>383</v>
      </c>
      <c r="C166" s="132">
        <f>(0.35*H6)</f>
        <v>0.42699999999999999</v>
      </c>
      <c r="D166" s="132">
        <f>(1.36*I6)</f>
        <v>1.7136000000000002</v>
      </c>
      <c r="E166" s="133">
        <v>1</v>
      </c>
      <c r="F166" s="134">
        <f>(C166+D166)*E166</f>
        <v>2.1406000000000001</v>
      </c>
      <c r="G166" s="401"/>
      <c r="I166" s="170"/>
      <c r="K166" s="170"/>
      <c r="L166" s="170"/>
    </row>
    <row r="167" spans="1:14" ht="12.75" customHeight="1">
      <c r="A167" s="396"/>
      <c r="B167" s="131" t="s">
        <v>88</v>
      </c>
      <c r="C167" s="132">
        <f>(0.28*H6)</f>
        <v>0.34160000000000001</v>
      </c>
      <c r="D167" s="132">
        <f>(1.09*I6)</f>
        <v>1.3734000000000002</v>
      </c>
      <c r="E167" s="133">
        <v>1</v>
      </c>
      <c r="F167" s="134">
        <f>(C167+D167)*E167</f>
        <v>1.7150000000000003</v>
      </c>
      <c r="G167" s="401"/>
      <c r="I167" s="170"/>
      <c r="K167" s="170"/>
      <c r="L167" s="170"/>
    </row>
    <row r="168" spans="1:14" ht="12.75" customHeight="1">
      <c r="A168" s="397"/>
      <c r="B168" s="131" t="s">
        <v>384</v>
      </c>
      <c r="C168" s="132">
        <f>(0.25*H6)</f>
        <v>0.30499999999999999</v>
      </c>
      <c r="D168" s="132">
        <f>(0.57*I6)</f>
        <v>0.71819999999999995</v>
      </c>
      <c r="E168" s="133">
        <v>1</v>
      </c>
      <c r="F168" s="134">
        <f>(C168+D168)*E168</f>
        <v>1.0231999999999999</v>
      </c>
      <c r="G168" s="401"/>
      <c r="I168" s="170"/>
      <c r="K168" s="170"/>
      <c r="L168" s="170"/>
    </row>
    <row r="169" spans="1:14" ht="12.75" customHeight="1">
      <c r="A169" s="125"/>
      <c r="B169" s="392"/>
      <c r="C169" s="392"/>
      <c r="D169" s="392"/>
      <c r="E169" s="392"/>
      <c r="F169" s="392"/>
      <c r="G169" s="401"/>
      <c r="I169" s="170"/>
      <c r="K169" s="170"/>
      <c r="L169" s="170"/>
      <c r="N169" s="159"/>
    </row>
    <row r="170" spans="1:14">
      <c r="I170" s="170"/>
      <c r="K170" s="170"/>
      <c r="L170" s="170"/>
    </row>
    <row r="171" spans="1:14">
      <c r="I171" s="170"/>
      <c r="K171" s="170"/>
      <c r="L171" s="170"/>
    </row>
    <row r="172" spans="1:14">
      <c r="I172" s="170"/>
      <c r="K172" s="170"/>
      <c r="L172" s="170"/>
    </row>
    <row r="173" spans="1:14">
      <c r="I173" s="170"/>
      <c r="K173" s="170"/>
      <c r="L173" s="170"/>
    </row>
    <row r="174" spans="1:14">
      <c r="I174" s="170"/>
      <c r="K174" s="170"/>
      <c r="L174" s="170"/>
    </row>
  </sheetData>
  <mergeCells count="58">
    <mergeCell ref="B126:F126"/>
    <mergeCell ref="A127:A131"/>
    <mergeCell ref="B132:F132"/>
    <mergeCell ref="B133:F133"/>
    <mergeCell ref="A134:A154"/>
    <mergeCell ref="B169:F169"/>
    <mergeCell ref="B155:F155"/>
    <mergeCell ref="B156:F156"/>
    <mergeCell ref="A157:A162"/>
    <mergeCell ref="B163:F163"/>
    <mergeCell ref="B164:F164"/>
    <mergeCell ref="A165:A168"/>
    <mergeCell ref="B57:F57"/>
    <mergeCell ref="A58:A96"/>
    <mergeCell ref="B97:F97"/>
    <mergeCell ref="B125:F125"/>
    <mergeCell ref="B98:F98"/>
    <mergeCell ref="A99:A111"/>
    <mergeCell ref="B112:F112"/>
    <mergeCell ref="B113:F113"/>
    <mergeCell ref="A114:A115"/>
    <mergeCell ref="B116:F116"/>
    <mergeCell ref="B117:F117"/>
    <mergeCell ref="A118:A119"/>
    <mergeCell ref="B119:F119"/>
    <mergeCell ref="B120:F120"/>
    <mergeCell ref="A121:A124"/>
    <mergeCell ref="A45:A51"/>
    <mergeCell ref="B52:F52"/>
    <mergeCell ref="B53:F53"/>
    <mergeCell ref="A54:A55"/>
    <mergeCell ref="B56:F56"/>
    <mergeCell ref="B39:F39"/>
    <mergeCell ref="B40:F40"/>
    <mergeCell ref="A41:A42"/>
    <mergeCell ref="B43:F43"/>
    <mergeCell ref="B44:F44"/>
    <mergeCell ref="B14:F14"/>
    <mergeCell ref="A15:A31"/>
    <mergeCell ref="B32:F32"/>
    <mergeCell ref="B33:F33"/>
    <mergeCell ref="A34:A38"/>
    <mergeCell ref="B1:F1"/>
    <mergeCell ref="G1:G169"/>
    <mergeCell ref="B2:F2"/>
    <mergeCell ref="H2:I3"/>
    <mergeCell ref="A3:A4"/>
    <mergeCell ref="B3:B4"/>
    <mergeCell ref="C3:D3"/>
    <mergeCell ref="E3:F3"/>
    <mergeCell ref="H4:I4"/>
    <mergeCell ref="B5:F5"/>
    <mergeCell ref="B6:F6"/>
    <mergeCell ref="A7:A8"/>
    <mergeCell ref="B8:F8"/>
    <mergeCell ref="B9:F9"/>
    <mergeCell ref="A10:A12"/>
    <mergeCell ref="B13:F13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H52"/>
  <sheetViews>
    <sheetView workbookViewId="0">
      <pane ySplit="5" topLeftCell="A6" activePane="bottomLeft" state="frozen"/>
      <selection pane="bottomLeft" activeCell="I18" sqref="I18"/>
      <selection activeCell="E24" sqref="E24"/>
    </sheetView>
  </sheetViews>
  <sheetFormatPr defaultRowHeight="12.75"/>
  <cols>
    <col min="1" max="1" width="28.42578125" customWidth="1"/>
    <col min="2" max="2" width="15.28515625" customWidth="1"/>
    <col min="3" max="3" width="15.5703125" customWidth="1"/>
    <col min="4" max="4" width="25.140625" customWidth="1"/>
    <col min="5" max="5" width="0.85546875" hidden="1" customWidth="1"/>
    <col min="6" max="6" width="2" customWidth="1"/>
    <col min="7" max="7" width="23.140625" customWidth="1"/>
    <col min="8" max="8" width="0.5703125" customWidth="1"/>
    <col min="9" max="9" width="36" customWidth="1"/>
  </cols>
  <sheetData>
    <row r="1" spans="1:8" ht="12.75" customHeight="1">
      <c r="A1" s="255" t="s">
        <v>84</v>
      </c>
      <c r="B1" s="256"/>
      <c r="C1" s="256"/>
      <c r="D1" s="256"/>
      <c r="E1" s="256"/>
      <c r="F1" s="249"/>
      <c r="G1" s="261" t="s">
        <v>3</v>
      </c>
      <c r="H1" s="85"/>
    </row>
    <row r="2" spans="1:8" ht="12.75" customHeight="1">
      <c r="A2" s="256"/>
      <c r="B2" s="256"/>
      <c r="C2" s="256"/>
      <c r="D2" s="256"/>
      <c r="E2" s="256"/>
      <c r="F2" s="250"/>
      <c r="G2" s="261"/>
      <c r="H2" s="84"/>
    </row>
    <row r="3" spans="1:8" ht="12.75" customHeight="1">
      <c r="A3" s="265" t="s">
        <v>85</v>
      </c>
      <c r="B3" s="267" t="s">
        <v>86</v>
      </c>
      <c r="C3" s="267" t="s">
        <v>87</v>
      </c>
      <c r="D3" s="257" t="s">
        <v>54</v>
      </c>
      <c r="E3" s="258"/>
      <c r="F3" s="250"/>
      <c r="G3" s="261"/>
      <c r="H3" s="59"/>
    </row>
    <row r="4" spans="1:8" ht="15.75" customHeight="1">
      <c r="A4" s="266"/>
      <c r="B4" s="268"/>
      <c r="C4" s="268"/>
      <c r="D4" s="259"/>
      <c r="E4" s="260"/>
      <c r="F4" s="250"/>
      <c r="G4" s="104"/>
      <c r="H4" s="59"/>
    </row>
    <row r="5" spans="1:8" ht="12.75" customHeight="1">
      <c r="A5" s="263"/>
      <c r="B5" s="264"/>
      <c r="C5" s="264"/>
      <c r="D5" s="264"/>
      <c r="E5" s="71"/>
      <c r="F5" s="250"/>
      <c r="G5" s="104"/>
      <c r="H5" s="59"/>
    </row>
    <row r="6" spans="1:8" ht="12.75" customHeight="1">
      <c r="A6" s="22" t="s">
        <v>88</v>
      </c>
      <c r="B6" s="8">
        <v>0.67</v>
      </c>
      <c r="C6" s="7">
        <f>MACH1718!F167</f>
        <v>1.7150000000000003</v>
      </c>
      <c r="D6" s="7">
        <f>B6*C6</f>
        <v>1.1490500000000003</v>
      </c>
      <c r="E6" s="5"/>
      <c r="F6" s="250"/>
      <c r="G6" s="409" t="s">
        <v>89</v>
      </c>
      <c r="H6" s="59"/>
    </row>
    <row r="7" spans="1:8" ht="12.75" customHeight="1">
      <c r="A7" s="22" t="s">
        <v>90</v>
      </c>
      <c r="B7" s="8">
        <v>0.67</v>
      </c>
      <c r="C7" s="7">
        <f>MACH1718!F140</f>
        <v>27.176599999999997</v>
      </c>
      <c r="D7" s="7">
        <f>B7*C7</f>
        <v>18.208321999999999</v>
      </c>
      <c r="E7" s="5"/>
      <c r="F7" s="250"/>
      <c r="G7" s="410"/>
      <c r="H7" s="59"/>
    </row>
    <row r="8" spans="1:8" ht="12.75" customHeight="1">
      <c r="A8" s="96"/>
      <c r="B8" s="97"/>
      <c r="C8" s="97"/>
      <c r="D8" s="97"/>
      <c r="E8" s="5"/>
      <c r="F8" s="250"/>
      <c r="G8" s="410"/>
      <c r="H8" s="59"/>
    </row>
    <row r="9" spans="1:8" ht="12.75" customHeight="1">
      <c r="A9" s="22" t="s">
        <v>91</v>
      </c>
      <c r="B9" s="8">
        <v>0.66</v>
      </c>
      <c r="C9" s="7">
        <f>MACH1718!F129</f>
        <v>8.6646000000000001</v>
      </c>
      <c r="D9" s="7">
        <f>B9*C9</f>
        <v>5.7186360000000001</v>
      </c>
      <c r="E9" s="5"/>
      <c r="F9" s="250"/>
      <c r="G9" s="410"/>
      <c r="H9" s="59"/>
    </row>
    <row r="10" spans="1:8" ht="12.75" customHeight="1">
      <c r="A10" s="22" t="s">
        <v>90</v>
      </c>
      <c r="B10" s="8">
        <v>0.66</v>
      </c>
      <c r="C10" s="7">
        <f>MACH1718!F140</f>
        <v>27.176599999999997</v>
      </c>
      <c r="D10" s="7">
        <f>B10*C10</f>
        <v>17.936556</v>
      </c>
      <c r="E10" s="5"/>
      <c r="F10" s="250"/>
      <c r="G10" s="410"/>
      <c r="H10" s="59"/>
    </row>
    <row r="11" spans="1:8" ht="12.75" customHeight="1">
      <c r="A11" s="253"/>
      <c r="B11" s="242"/>
      <c r="C11" s="242"/>
      <c r="D11" s="254"/>
      <c r="E11" s="5"/>
      <c r="F11" s="250"/>
      <c r="G11" s="410"/>
      <c r="H11" s="59"/>
    </row>
    <row r="12" spans="1:8" ht="12.75" customHeight="1">
      <c r="A12" s="22" t="s">
        <v>92</v>
      </c>
      <c r="B12" s="8">
        <v>3.25</v>
      </c>
      <c r="C12" s="7">
        <f>MACH1718!F131</f>
        <v>15.899799999999999</v>
      </c>
      <c r="D12" s="7">
        <f>B12*C12</f>
        <v>51.674349999999997</v>
      </c>
      <c r="E12" s="5"/>
      <c r="F12" s="250"/>
      <c r="G12" s="410"/>
      <c r="H12" s="59"/>
    </row>
    <row r="13" spans="1:8" ht="12.75" customHeight="1">
      <c r="A13" s="22" t="s">
        <v>90</v>
      </c>
      <c r="B13" s="8">
        <v>3.25</v>
      </c>
      <c r="C13" s="7">
        <f>MACH1718!F140</f>
        <v>27.176599999999997</v>
      </c>
      <c r="D13" s="7">
        <f>B13*C13</f>
        <v>88.323949999999996</v>
      </c>
      <c r="E13" s="5"/>
      <c r="F13" s="250"/>
      <c r="G13" s="410"/>
      <c r="H13" s="59"/>
    </row>
    <row r="14" spans="1:8" ht="12.75" customHeight="1">
      <c r="A14" s="96"/>
      <c r="B14" s="97"/>
      <c r="C14" s="97"/>
      <c r="D14" s="97"/>
      <c r="E14" s="5"/>
      <c r="F14" s="250"/>
      <c r="G14" s="104"/>
      <c r="H14" s="59"/>
    </row>
    <row r="15" spans="1:8" ht="12.75" customHeight="1">
      <c r="A15" s="22" t="s">
        <v>93</v>
      </c>
      <c r="B15" s="8">
        <v>0.1</v>
      </c>
      <c r="C15" s="7">
        <f>MACH1718!F63</f>
        <v>2.1162000000000001</v>
      </c>
      <c r="D15" s="7">
        <f>B15*C15</f>
        <v>0.21162000000000003</v>
      </c>
      <c r="E15" s="5"/>
      <c r="F15" s="250"/>
      <c r="G15" s="104"/>
      <c r="H15" s="59"/>
    </row>
    <row r="16" spans="1:8" ht="12.75" customHeight="1">
      <c r="A16" s="22" t="s">
        <v>94</v>
      </c>
      <c r="B16" s="8">
        <v>0.1</v>
      </c>
      <c r="C16" s="7">
        <f>MACH1718!F145</f>
        <v>39.305799999999998</v>
      </c>
      <c r="D16" s="7">
        <f>B16*C16</f>
        <v>3.93058</v>
      </c>
      <c r="E16" s="5"/>
      <c r="F16" s="250"/>
      <c r="G16" s="104"/>
      <c r="H16" s="59"/>
    </row>
    <row r="17" spans="1:8" ht="12.75" customHeight="1">
      <c r="A17" s="96"/>
      <c r="B17" s="97"/>
      <c r="C17" s="97"/>
      <c r="D17" s="97"/>
      <c r="E17" s="5"/>
      <c r="F17" s="250"/>
      <c r="G17" s="104"/>
      <c r="H17" s="59"/>
    </row>
    <row r="18" spans="1:8" ht="12.75" customHeight="1">
      <c r="A18" s="22" t="s">
        <v>95</v>
      </c>
      <c r="B18" s="8">
        <v>0.31</v>
      </c>
      <c r="C18" s="7">
        <f>MACH1718!F72</f>
        <v>11.247</v>
      </c>
      <c r="D18" s="7">
        <f>B18*C18</f>
        <v>3.4865699999999999</v>
      </c>
      <c r="E18" s="5"/>
      <c r="F18" s="250"/>
      <c r="G18" s="104"/>
      <c r="H18" s="59"/>
    </row>
    <row r="19" spans="1:8" ht="12.75" customHeight="1">
      <c r="A19" s="22" t="s">
        <v>94</v>
      </c>
      <c r="B19" s="8">
        <v>0.31</v>
      </c>
      <c r="C19" s="7">
        <f>MACH1718!F145</f>
        <v>39.305799999999998</v>
      </c>
      <c r="D19" s="7">
        <f>B19*C19</f>
        <v>12.184797999999999</v>
      </c>
      <c r="E19" s="5"/>
      <c r="F19" s="250"/>
      <c r="G19" s="104"/>
      <c r="H19" s="59"/>
    </row>
    <row r="20" spans="1:8" ht="12.75" customHeight="1">
      <c r="A20" s="96"/>
      <c r="B20" s="97"/>
      <c r="C20" s="97"/>
      <c r="D20" s="97"/>
      <c r="E20" s="5"/>
      <c r="F20" s="250"/>
      <c r="G20" s="104"/>
      <c r="H20" s="59"/>
    </row>
    <row r="21" spans="1:8" ht="12.75" customHeight="1">
      <c r="A21" s="9" t="s">
        <v>96</v>
      </c>
      <c r="B21" s="8">
        <v>0.44</v>
      </c>
      <c r="C21" s="7">
        <f>MACH1718!F66</f>
        <v>17.664999999999999</v>
      </c>
      <c r="D21" s="7">
        <f>B21*C21</f>
        <v>7.7725999999999997</v>
      </c>
      <c r="E21" s="5"/>
      <c r="F21" s="250"/>
      <c r="G21" s="104"/>
      <c r="H21" s="59"/>
    </row>
    <row r="22" spans="1:8" ht="12.75" customHeight="1">
      <c r="A22" s="22" t="s">
        <v>97</v>
      </c>
      <c r="B22" s="8">
        <v>0.44</v>
      </c>
      <c r="C22" s="7">
        <f>MACH1718!F147</f>
        <v>47.815599999999996</v>
      </c>
      <c r="D22" s="7">
        <f>B22*C22</f>
        <v>21.038864</v>
      </c>
      <c r="E22" s="5"/>
      <c r="F22" s="250"/>
      <c r="G22" s="104"/>
      <c r="H22" s="59"/>
    </row>
    <row r="23" spans="1:8" ht="12.75" customHeight="1">
      <c r="A23" s="253"/>
      <c r="B23" s="242"/>
      <c r="C23" s="242"/>
      <c r="D23" s="254"/>
      <c r="E23" s="5"/>
      <c r="F23" s="250"/>
      <c r="G23" s="104"/>
      <c r="H23" s="59"/>
    </row>
    <row r="24" spans="1:8" ht="12.75" customHeight="1">
      <c r="A24" s="61" t="s">
        <v>98</v>
      </c>
      <c r="B24" s="8">
        <v>1.33</v>
      </c>
      <c r="C24" s="7">
        <f>MACH1718!F106</f>
        <v>3.5422000000000002</v>
      </c>
      <c r="D24" s="7">
        <f>B24*C24</f>
        <v>4.7111260000000001</v>
      </c>
      <c r="E24" s="5"/>
      <c r="F24" s="250"/>
      <c r="G24" s="104"/>
      <c r="H24" s="59"/>
    </row>
    <row r="25" spans="1:8" ht="12.75" customHeight="1">
      <c r="A25" s="22" t="s">
        <v>97</v>
      </c>
      <c r="B25" s="8">
        <v>1.33</v>
      </c>
      <c r="C25" s="7">
        <f>MACH1718!F147</f>
        <v>47.815599999999996</v>
      </c>
      <c r="D25" s="7">
        <f>B25*C25</f>
        <v>63.594747999999996</v>
      </c>
      <c r="E25" s="5"/>
      <c r="F25" s="250"/>
      <c r="G25" s="104"/>
      <c r="H25" s="59"/>
    </row>
    <row r="26" spans="1:8" ht="12.75" customHeight="1">
      <c r="A26" s="253"/>
      <c r="B26" s="242"/>
      <c r="C26" s="242"/>
      <c r="D26" s="254"/>
      <c r="E26" s="5"/>
      <c r="F26" s="250"/>
      <c r="G26" s="104"/>
      <c r="H26" s="59"/>
    </row>
    <row r="27" spans="1:8" ht="12.75" customHeight="1">
      <c r="A27" s="22" t="s">
        <v>99</v>
      </c>
      <c r="B27" s="8">
        <v>1.33</v>
      </c>
      <c r="C27" s="7">
        <f>MACH1718!F96</f>
        <v>16.785999999999998</v>
      </c>
      <c r="D27" s="7">
        <f>B27*C27</f>
        <v>22.325379999999999</v>
      </c>
      <c r="E27" s="5"/>
      <c r="F27" s="250"/>
      <c r="G27" s="104"/>
      <c r="H27" s="59"/>
    </row>
    <row r="28" spans="1:8" ht="12.75" customHeight="1">
      <c r="A28" s="22" t="s">
        <v>97</v>
      </c>
      <c r="B28" s="8">
        <v>1.33</v>
      </c>
      <c r="C28" s="7">
        <f>MACH1718!F147</f>
        <v>47.815599999999996</v>
      </c>
      <c r="D28" s="7">
        <f>B28*C28</f>
        <v>63.594747999999996</v>
      </c>
      <c r="E28" s="5"/>
      <c r="F28" s="250"/>
      <c r="G28" s="104"/>
      <c r="H28" s="59"/>
    </row>
    <row r="29" spans="1:8" ht="12.75" customHeight="1">
      <c r="A29" s="96"/>
      <c r="B29" s="97"/>
      <c r="C29" s="97"/>
      <c r="D29" s="97"/>
      <c r="E29" s="5"/>
      <c r="F29" s="251"/>
      <c r="G29" s="104"/>
      <c r="H29" s="59"/>
    </row>
    <row r="30" spans="1:8" ht="12.75" customHeight="1">
      <c r="A30" s="22" t="s">
        <v>100</v>
      </c>
      <c r="B30" s="8">
        <v>1.28</v>
      </c>
      <c r="C30" s="7">
        <f>MACH1718!F24</f>
        <v>5.2031999999999998</v>
      </c>
      <c r="D30" s="7">
        <f>B30*C30</f>
        <v>6.6600960000000002</v>
      </c>
      <c r="E30" s="55"/>
      <c r="F30" s="250"/>
      <c r="G30" s="410"/>
    </row>
    <row r="31" spans="1:8">
      <c r="A31" s="5" t="s">
        <v>101</v>
      </c>
      <c r="B31" s="8">
        <v>1.28</v>
      </c>
      <c r="C31" s="7">
        <f>MACH1718!F153</f>
        <v>68.467199999999991</v>
      </c>
      <c r="D31" s="7">
        <f>B31*C31</f>
        <v>87.638015999999993</v>
      </c>
      <c r="E31" s="55"/>
      <c r="F31" s="250"/>
      <c r="G31" s="410"/>
    </row>
    <row r="32" spans="1:8">
      <c r="A32" s="248"/>
      <c r="B32" s="248"/>
      <c r="C32" s="248"/>
      <c r="D32" s="262"/>
      <c r="E32" s="55"/>
      <c r="F32" s="250"/>
      <c r="G32" s="410"/>
    </row>
    <row r="33" spans="1:7">
      <c r="A33" s="22" t="s">
        <v>102</v>
      </c>
      <c r="B33" s="8">
        <v>0.36</v>
      </c>
      <c r="C33" s="7">
        <f>MACH1718!F51</f>
        <v>2.0505999999999998</v>
      </c>
      <c r="D33" s="7">
        <f t="shared" ref="D33:D44" si="0">B33*C33</f>
        <v>0.73821599999999987</v>
      </c>
      <c r="E33" s="55"/>
      <c r="F33" s="250"/>
      <c r="G33" s="410"/>
    </row>
    <row r="34" spans="1:7">
      <c r="A34" s="22" t="s">
        <v>103</v>
      </c>
      <c r="B34" s="8">
        <v>0.36</v>
      </c>
      <c r="C34" s="7">
        <f>MACH1718!F154</f>
        <v>80.845199999999991</v>
      </c>
      <c r="D34" s="7">
        <f t="shared" si="0"/>
        <v>29.104271999999995</v>
      </c>
      <c r="E34" s="55"/>
      <c r="F34" s="250"/>
      <c r="G34" s="410"/>
    </row>
    <row r="35" spans="1:7">
      <c r="A35" s="253"/>
      <c r="B35" s="242"/>
      <c r="C35" s="242"/>
      <c r="D35" s="254"/>
      <c r="E35" s="55"/>
      <c r="F35" s="250"/>
      <c r="G35" s="411"/>
    </row>
    <row r="36" spans="1:7">
      <c r="A36" s="22" t="s">
        <v>104</v>
      </c>
      <c r="B36" s="8">
        <v>0.93</v>
      </c>
      <c r="C36" s="7">
        <f>MACH1718!F47</f>
        <v>7.4564000000000004</v>
      </c>
      <c r="D36" s="7">
        <f t="shared" si="0"/>
        <v>6.9344520000000003</v>
      </c>
      <c r="E36" s="55"/>
      <c r="F36" s="250"/>
    </row>
    <row r="37" spans="1:7">
      <c r="A37" s="22" t="s">
        <v>103</v>
      </c>
      <c r="B37" s="8">
        <v>0.93</v>
      </c>
      <c r="C37" s="7">
        <f>MACH1718!F154</f>
        <v>80.845199999999991</v>
      </c>
      <c r="D37" s="7">
        <f t="shared" si="0"/>
        <v>75.186036000000001</v>
      </c>
      <c r="E37" s="55"/>
      <c r="F37" s="250"/>
    </row>
    <row r="38" spans="1:7">
      <c r="A38" s="253"/>
      <c r="B38" s="242"/>
      <c r="C38" s="242"/>
      <c r="D38" s="254"/>
      <c r="E38" s="55"/>
      <c r="F38" s="250"/>
    </row>
    <row r="39" spans="1:7">
      <c r="A39" s="22" t="s">
        <v>105</v>
      </c>
      <c r="B39" s="8">
        <v>0.4</v>
      </c>
      <c r="C39" s="7">
        <f>MACH1718!F15</f>
        <v>23.893799999999999</v>
      </c>
      <c r="D39" s="7">
        <f t="shared" si="0"/>
        <v>9.5575200000000002</v>
      </c>
      <c r="E39" s="55"/>
      <c r="F39" s="250"/>
    </row>
    <row r="40" spans="1:7">
      <c r="A40" s="22" t="s">
        <v>103</v>
      </c>
      <c r="B40" s="8">
        <v>0.4</v>
      </c>
      <c r="C40" s="7">
        <f>MACH1718!F154</f>
        <v>80.845199999999991</v>
      </c>
      <c r="D40" s="7">
        <f t="shared" si="0"/>
        <v>32.338079999999998</v>
      </c>
      <c r="E40" s="55"/>
      <c r="F40" s="250"/>
    </row>
    <row r="41" spans="1:7">
      <c r="A41" s="253"/>
      <c r="B41" s="242"/>
      <c r="C41" s="242"/>
      <c r="D41" s="254"/>
      <c r="E41" s="55"/>
      <c r="F41" s="250"/>
    </row>
    <row r="42" spans="1:7" ht="15">
      <c r="A42" s="208" t="s">
        <v>106</v>
      </c>
      <c r="B42" s="209"/>
      <c r="C42" s="209"/>
      <c r="D42" s="210"/>
      <c r="E42" s="55"/>
      <c r="F42" s="250"/>
    </row>
    <row r="43" spans="1:7">
      <c r="A43" s="22" t="s">
        <v>107</v>
      </c>
      <c r="B43" s="67">
        <v>180</v>
      </c>
      <c r="C43" s="7">
        <f>MACH1718!F73</f>
        <v>6.11</v>
      </c>
      <c r="D43" s="7">
        <f t="shared" si="0"/>
        <v>1099.8</v>
      </c>
      <c r="E43" s="55"/>
      <c r="F43" s="250"/>
    </row>
    <row r="44" spans="1:7">
      <c r="A44" s="22" t="s">
        <v>108</v>
      </c>
      <c r="B44" s="67">
        <v>45</v>
      </c>
      <c r="C44" s="7">
        <f>MACH1718!F75</f>
        <v>18.329599999999999</v>
      </c>
      <c r="D44" s="7">
        <f t="shared" si="0"/>
        <v>824.83199999999999</v>
      </c>
      <c r="E44" s="55"/>
      <c r="F44" s="250"/>
    </row>
    <row r="45" spans="1:7">
      <c r="A45" s="269"/>
      <c r="B45" s="248"/>
      <c r="C45" s="248"/>
      <c r="D45" s="262"/>
      <c r="E45" s="56"/>
      <c r="F45" s="250"/>
    </row>
    <row r="46" spans="1:7">
      <c r="A46" s="270" t="s">
        <v>109</v>
      </c>
      <c r="B46" s="271"/>
      <c r="C46" s="272"/>
      <c r="D46" s="7">
        <f>D7+D10+D13+D16+D19+D22+D25+D28+D31+D34+D37+D40</f>
        <v>513.07896999999991</v>
      </c>
      <c r="E46" s="55"/>
      <c r="F46" s="250"/>
    </row>
    <row r="47" spans="1:7">
      <c r="A47" s="270" t="s">
        <v>110</v>
      </c>
      <c r="B47" s="271"/>
      <c r="C47" s="272"/>
      <c r="D47" s="7">
        <f>D6+D9+D12+D15+D18+D21+D24+D27+D30+D33+D36+D39</f>
        <v>120.93961599999999</v>
      </c>
      <c r="E47" s="55"/>
      <c r="F47" s="250"/>
    </row>
    <row r="48" spans="1:7">
      <c r="A48" s="273" t="s">
        <v>111</v>
      </c>
      <c r="B48" s="274"/>
      <c r="C48" s="114">
        <v>15.5</v>
      </c>
      <c r="D48" s="7">
        <f>(B7+B10+B13+B16+B19+B22+B25+B28+B31+B34+B37+B40)*C48</f>
        <v>171.42999999999998</v>
      </c>
      <c r="E48" s="55"/>
      <c r="F48" s="250"/>
    </row>
    <row r="49" spans="1:6">
      <c r="A49" s="237" t="s">
        <v>112</v>
      </c>
      <c r="B49" s="238"/>
      <c r="C49" s="239"/>
      <c r="D49" s="33">
        <f>SUM(D43:D44)</f>
        <v>1924.6320000000001</v>
      </c>
      <c r="E49" s="57"/>
      <c r="F49" s="250"/>
    </row>
    <row r="50" spans="1:6">
      <c r="A50" s="248"/>
      <c r="B50" s="248"/>
      <c r="C50" s="248"/>
      <c r="D50" s="248"/>
      <c r="E50" s="56"/>
      <c r="F50" s="250"/>
    </row>
    <row r="51" spans="1:6">
      <c r="A51" s="237" t="s">
        <v>54</v>
      </c>
      <c r="B51" s="238"/>
      <c r="C51" s="239"/>
      <c r="D51" s="33">
        <f>SUM(D46:D49)</f>
        <v>2730.080586</v>
      </c>
      <c r="E51" s="57"/>
      <c r="F51" s="250"/>
    </row>
    <row r="52" spans="1:6">
      <c r="A52" s="248"/>
      <c r="B52" s="248"/>
      <c r="C52" s="248"/>
      <c r="D52" s="248"/>
      <c r="F52" s="252"/>
    </row>
  </sheetData>
  <mergeCells count="26">
    <mergeCell ref="B3:B4"/>
    <mergeCell ref="C3:C4"/>
    <mergeCell ref="A45:D45"/>
    <mergeCell ref="A51:C51"/>
    <mergeCell ref="A42:D42"/>
    <mergeCell ref="A46:C46"/>
    <mergeCell ref="A47:C47"/>
    <mergeCell ref="A49:C49"/>
    <mergeCell ref="A50:D50"/>
    <mergeCell ref="A48:B48"/>
    <mergeCell ref="A52:D52"/>
    <mergeCell ref="F1:F52"/>
    <mergeCell ref="A11:D11"/>
    <mergeCell ref="G6:G13"/>
    <mergeCell ref="A23:D23"/>
    <mergeCell ref="A26:D26"/>
    <mergeCell ref="G30:G34"/>
    <mergeCell ref="A1:E2"/>
    <mergeCell ref="D3:E4"/>
    <mergeCell ref="G1:G3"/>
    <mergeCell ref="A32:D32"/>
    <mergeCell ref="A38:D38"/>
    <mergeCell ref="A35:D35"/>
    <mergeCell ref="A41:D41"/>
    <mergeCell ref="A5:D5"/>
    <mergeCell ref="A3:A4"/>
  </mergeCells>
  <phoneticPr fontId="0" type="noConversion"/>
  <printOptions verticalCentered="1" gridLines="1"/>
  <pageMargins left="0" right="0" top="0" bottom="0" header="0" footer="0"/>
  <pageSetup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71CB9"/>
  </sheetPr>
  <dimension ref="A1:I31"/>
  <sheetViews>
    <sheetView workbookViewId="0">
      <pane ySplit="5" topLeftCell="A6" activePane="bottomLeft" state="frozen"/>
      <selection pane="bottomLeft" activeCell="E4" sqref="E4"/>
    </sheetView>
  </sheetViews>
  <sheetFormatPr defaultRowHeight="12.75"/>
  <cols>
    <col min="1" max="1" width="28.42578125" customWidth="1"/>
    <col min="2" max="2" width="11.140625" customWidth="1"/>
    <col min="3" max="4" width="9.85546875" customWidth="1"/>
    <col min="5" max="5" width="15.7109375" customWidth="1"/>
    <col min="6" max="6" width="13" customWidth="1"/>
    <col min="7" max="7" width="12.85546875" customWidth="1"/>
    <col min="8" max="8" width="2" customWidth="1"/>
    <col min="9" max="9" width="23.5703125" customWidth="1"/>
    <col min="10" max="10" width="1.42578125" customWidth="1"/>
    <col min="11" max="11" width="1.85546875" customWidth="1"/>
    <col min="12" max="12" width="1.5703125" customWidth="1"/>
  </cols>
  <sheetData>
    <row r="1" spans="1:9" ht="33" customHeight="1">
      <c r="A1" s="278" t="s">
        <v>113</v>
      </c>
      <c r="B1" s="279"/>
      <c r="C1" s="279"/>
      <c r="D1" s="279"/>
      <c r="E1" s="279"/>
      <c r="F1" s="279"/>
      <c r="G1" s="280"/>
      <c r="H1" s="282"/>
      <c r="I1" s="90" t="s">
        <v>3</v>
      </c>
    </row>
    <row r="2" spans="1:9" ht="18.75" customHeight="1">
      <c r="A2" s="298" t="s">
        <v>114</v>
      </c>
      <c r="B2" s="276" t="s">
        <v>115</v>
      </c>
      <c r="C2" s="276" t="s">
        <v>116</v>
      </c>
      <c r="D2" s="265" t="s">
        <v>86</v>
      </c>
      <c r="E2" s="276" t="s">
        <v>117</v>
      </c>
      <c r="F2" s="276" t="s">
        <v>118</v>
      </c>
      <c r="G2" s="257" t="s">
        <v>119</v>
      </c>
      <c r="H2" s="283"/>
      <c r="I2" s="290" t="s">
        <v>57</v>
      </c>
    </row>
    <row r="3" spans="1:9" ht="20.25" customHeight="1">
      <c r="A3" s="299"/>
      <c r="B3" s="277"/>
      <c r="C3" s="281"/>
      <c r="D3" s="266"/>
      <c r="E3" s="277"/>
      <c r="F3" s="277"/>
      <c r="G3" s="297"/>
      <c r="H3" s="283"/>
      <c r="I3" s="290"/>
    </row>
    <row r="4" spans="1:9" ht="18" customHeight="1">
      <c r="A4" s="111" t="s">
        <v>120</v>
      </c>
      <c r="B4" s="46">
        <f>MACH1718!C136</f>
        <v>11.041</v>
      </c>
      <c r="C4" s="46">
        <f>MACH1718!D136</f>
        <v>2.2176</v>
      </c>
      <c r="D4" s="115">
        <f>SUM(D6:D25)</f>
        <v>0</v>
      </c>
      <c r="E4" s="48">
        <f t="shared" ref="E4:E20" si="0">(B4*D4)</f>
        <v>0</v>
      </c>
      <c r="F4" s="48">
        <f t="shared" ref="F4:F20" si="1">(C4*D4)</f>
        <v>0</v>
      </c>
      <c r="G4" s="116">
        <f>E4+F4</f>
        <v>0</v>
      </c>
      <c r="H4" s="283"/>
    </row>
    <row r="5" spans="1:9" ht="10.5" customHeight="1">
      <c r="A5" s="275"/>
      <c r="B5" s="275"/>
      <c r="C5" s="275"/>
      <c r="D5" s="275"/>
      <c r="E5" s="275"/>
      <c r="F5" s="275"/>
      <c r="G5" s="275"/>
      <c r="H5" s="283"/>
    </row>
    <row r="6" spans="1:9">
      <c r="A6" s="21"/>
      <c r="B6" s="29"/>
      <c r="C6" s="29"/>
      <c r="D6" s="26"/>
      <c r="E6" s="7">
        <f t="shared" ref="E6:E12" si="2">(B6*D6)</f>
        <v>0</v>
      </c>
      <c r="F6" s="7">
        <f t="shared" ref="F6:F12" si="3">(C6*D6)</f>
        <v>0</v>
      </c>
      <c r="G6" s="72">
        <f t="shared" ref="G6:G12" si="4">(E6+F6)</f>
        <v>0</v>
      </c>
      <c r="H6" s="283"/>
    </row>
    <row r="7" spans="1:9">
      <c r="A7" s="21"/>
      <c r="B7" s="29"/>
      <c r="C7" s="29"/>
      <c r="D7" s="26"/>
      <c r="E7" s="7">
        <f t="shared" si="2"/>
        <v>0</v>
      </c>
      <c r="F7" s="7">
        <f t="shared" si="3"/>
        <v>0</v>
      </c>
      <c r="G7" s="72">
        <f t="shared" si="4"/>
        <v>0</v>
      </c>
      <c r="H7" s="283"/>
    </row>
    <row r="8" spans="1:9">
      <c r="A8" s="21"/>
      <c r="B8" s="29"/>
      <c r="C8" s="29"/>
      <c r="D8" s="25"/>
      <c r="E8" s="7">
        <f t="shared" si="2"/>
        <v>0</v>
      </c>
      <c r="F8" s="7">
        <f t="shared" si="3"/>
        <v>0</v>
      </c>
      <c r="G8" s="72">
        <f t="shared" si="4"/>
        <v>0</v>
      </c>
      <c r="H8" s="283"/>
    </row>
    <row r="9" spans="1:9">
      <c r="A9" s="21"/>
      <c r="B9" s="29"/>
      <c r="C9" s="29"/>
      <c r="D9" s="26"/>
      <c r="E9" s="7">
        <f t="shared" si="2"/>
        <v>0</v>
      </c>
      <c r="F9" s="7">
        <f t="shared" si="3"/>
        <v>0</v>
      </c>
      <c r="G9" s="72">
        <f t="shared" si="4"/>
        <v>0</v>
      </c>
      <c r="H9" s="283"/>
    </row>
    <row r="10" spans="1:9">
      <c r="A10" s="21"/>
      <c r="B10" s="29"/>
      <c r="C10" s="29"/>
      <c r="D10" s="26"/>
      <c r="E10" s="7">
        <f t="shared" si="2"/>
        <v>0</v>
      </c>
      <c r="F10" s="7">
        <f t="shared" si="3"/>
        <v>0</v>
      </c>
      <c r="G10" s="72">
        <f t="shared" si="4"/>
        <v>0</v>
      </c>
      <c r="H10" s="283"/>
    </row>
    <row r="11" spans="1:9">
      <c r="A11" s="21"/>
      <c r="B11" s="29"/>
      <c r="C11" s="29"/>
      <c r="D11" s="25"/>
      <c r="E11" s="7">
        <f t="shared" si="2"/>
        <v>0</v>
      </c>
      <c r="F11" s="7">
        <f t="shared" si="3"/>
        <v>0</v>
      </c>
      <c r="G11" s="72">
        <f t="shared" si="4"/>
        <v>0</v>
      </c>
      <c r="H11" s="283"/>
    </row>
    <row r="12" spans="1:9">
      <c r="A12" s="21"/>
      <c r="B12" s="29"/>
      <c r="C12" s="29"/>
      <c r="D12" s="26"/>
      <c r="E12" s="7">
        <f t="shared" si="2"/>
        <v>0</v>
      </c>
      <c r="F12" s="7">
        <f t="shared" si="3"/>
        <v>0</v>
      </c>
      <c r="G12" s="72">
        <f t="shared" si="4"/>
        <v>0</v>
      </c>
      <c r="H12" s="283"/>
    </row>
    <row r="13" spans="1:9">
      <c r="A13" s="21"/>
      <c r="B13" s="29"/>
      <c r="C13" s="29"/>
      <c r="D13" s="25"/>
      <c r="E13" s="7">
        <f t="shared" si="0"/>
        <v>0</v>
      </c>
      <c r="F13" s="7">
        <f t="shared" si="1"/>
        <v>0</v>
      </c>
      <c r="G13" s="72">
        <f t="shared" ref="G13:G20" si="5">(E13+F13)</f>
        <v>0</v>
      </c>
      <c r="H13" s="283"/>
    </row>
    <row r="14" spans="1:9">
      <c r="A14" s="21"/>
      <c r="B14" s="29"/>
      <c r="C14" s="29"/>
      <c r="D14" s="25"/>
      <c r="E14" s="7">
        <f t="shared" si="0"/>
        <v>0</v>
      </c>
      <c r="F14" s="7">
        <f t="shared" si="1"/>
        <v>0</v>
      </c>
      <c r="G14" s="72">
        <f t="shared" si="5"/>
        <v>0</v>
      </c>
      <c r="H14" s="283"/>
    </row>
    <row r="15" spans="1:9">
      <c r="A15" s="21"/>
      <c r="B15" s="29"/>
      <c r="C15" s="29"/>
      <c r="D15" s="25"/>
      <c r="E15" s="7">
        <f t="shared" si="0"/>
        <v>0</v>
      </c>
      <c r="F15" s="7">
        <f t="shared" si="1"/>
        <v>0</v>
      </c>
      <c r="G15" s="72">
        <f t="shared" si="5"/>
        <v>0</v>
      </c>
      <c r="H15" s="283"/>
    </row>
    <row r="16" spans="1:9">
      <c r="A16" s="21"/>
      <c r="B16" s="29"/>
      <c r="C16" s="29"/>
      <c r="D16" s="25"/>
      <c r="E16" s="7">
        <f t="shared" si="0"/>
        <v>0</v>
      </c>
      <c r="F16" s="7">
        <f t="shared" si="1"/>
        <v>0</v>
      </c>
      <c r="G16" s="72">
        <f t="shared" si="5"/>
        <v>0</v>
      </c>
      <c r="H16" s="283"/>
    </row>
    <row r="17" spans="1:8">
      <c r="A17" s="21"/>
      <c r="B17" s="29"/>
      <c r="C17" s="29"/>
      <c r="D17" s="25"/>
      <c r="E17" s="7">
        <f t="shared" si="0"/>
        <v>0</v>
      </c>
      <c r="F17" s="7">
        <f t="shared" si="1"/>
        <v>0</v>
      </c>
      <c r="G17" s="72">
        <f t="shared" si="5"/>
        <v>0</v>
      </c>
      <c r="H17" s="283"/>
    </row>
    <row r="18" spans="1:8">
      <c r="A18" s="21"/>
      <c r="B18" s="29"/>
      <c r="C18" s="29"/>
      <c r="D18" s="25"/>
      <c r="E18" s="7">
        <f t="shared" si="0"/>
        <v>0</v>
      </c>
      <c r="F18" s="7">
        <f t="shared" si="1"/>
        <v>0</v>
      </c>
      <c r="G18" s="72">
        <f t="shared" si="5"/>
        <v>0</v>
      </c>
      <c r="H18" s="283"/>
    </row>
    <row r="19" spans="1:8">
      <c r="A19" s="21"/>
      <c r="B19" s="29"/>
      <c r="C19" s="29"/>
      <c r="D19" s="25"/>
      <c r="E19" s="7">
        <f>(B19*D19)</f>
        <v>0</v>
      </c>
      <c r="F19" s="7">
        <f>(C19*D19)</f>
        <v>0</v>
      </c>
      <c r="G19" s="72">
        <f>(E19+F19)</f>
        <v>0</v>
      </c>
      <c r="H19" s="283"/>
    </row>
    <row r="20" spans="1:8">
      <c r="A20" s="21"/>
      <c r="B20" s="29"/>
      <c r="C20" s="29"/>
      <c r="D20" s="25"/>
      <c r="E20" s="7">
        <f t="shared" si="0"/>
        <v>0</v>
      </c>
      <c r="F20" s="7">
        <f t="shared" si="1"/>
        <v>0</v>
      </c>
      <c r="G20" s="72">
        <f t="shared" si="5"/>
        <v>0</v>
      </c>
      <c r="H20" s="283"/>
    </row>
    <row r="21" spans="1:8">
      <c r="A21" s="77"/>
      <c r="B21" s="29"/>
      <c r="C21" s="29"/>
      <c r="D21" s="78"/>
      <c r="E21" s="7">
        <f>(B21*D21)</f>
        <v>0</v>
      </c>
      <c r="F21" s="7">
        <f>(C21*D21)</f>
        <v>0</v>
      </c>
      <c r="G21" s="72">
        <f>(E21+F21)</f>
        <v>0</v>
      </c>
      <c r="H21" s="283"/>
    </row>
    <row r="22" spans="1:8">
      <c r="A22" s="77"/>
      <c r="B22" s="29"/>
      <c r="C22" s="29"/>
      <c r="D22" s="78"/>
      <c r="E22" s="7">
        <f>(B22*D22)</f>
        <v>0</v>
      </c>
      <c r="F22" s="7">
        <f>(C22*D22)</f>
        <v>0</v>
      </c>
      <c r="G22" s="72">
        <f>(E22+F22)</f>
        <v>0</v>
      </c>
      <c r="H22" s="283"/>
    </row>
    <row r="23" spans="1:8">
      <c r="A23" s="77"/>
      <c r="B23" s="29"/>
      <c r="C23" s="29"/>
      <c r="D23" s="78"/>
      <c r="E23" s="7">
        <f>(B23*D23)</f>
        <v>0</v>
      </c>
      <c r="F23" s="7">
        <f>(C23*D23)</f>
        <v>0</v>
      </c>
      <c r="G23" s="72">
        <f>(E23+F23)</f>
        <v>0</v>
      </c>
      <c r="H23" s="283"/>
    </row>
    <row r="24" spans="1:8">
      <c r="A24" s="77"/>
      <c r="B24" s="29"/>
      <c r="C24" s="29"/>
      <c r="D24" s="78"/>
      <c r="E24" s="7">
        <f>(B24*D24)</f>
        <v>0</v>
      </c>
      <c r="F24" s="7">
        <f>(C24*D24)</f>
        <v>0</v>
      </c>
      <c r="G24" s="72">
        <f>(E24+F24)</f>
        <v>0</v>
      </c>
      <c r="H24" s="283"/>
    </row>
    <row r="25" spans="1:8">
      <c r="A25" s="77"/>
      <c r="B25" s="29"/>
      <c r="C25" s="29"/>
      <c r="D25" s="78"/>
      <c r="E25" s="7">
        <f>(B25*D25)</f>
        <v>0</v>
      </c>
      <c r="F25" s="7">
        <f>(C25*D25)</f>
        <v>0</v>
      </c>
      <c r="G25" s="72">
        <f>(E25+F25)</f>
        <v>0</v>
      </c>
      <c r="H25" s="283"/>
    </row>
    <row r="26" spans="1:8">
      <c r="A26" s="242"/>
      <c r="B26" s="242"/>
      <c r="C26" s="242"/>
      <c r="D26" s="242"/>
      <c r="E26" s="242"/>
      <c r="F26" s="242"/>
      <c r="G26" s="242"/>
      <c r="H26" s="283"/>
    </row>
    <row r="27" spans="1:8" ht="15">
      <c r="A27" s="291" t="s">
        <v>121</v>
      </c>
      <c r="B27" s="292"/>
      <c r="C27" s="292"/>
      <c r="D27" s="293"/>
      <c r="E27" s="33">
        <f>SUM(E6:E25)</f>
        <v>0</v>
      </c>
      <c r="F27" s="33">
        <f>SUM(F6:F25)</f>
        <v>0</v>
      </c>
      <c r="G27" s="74">
        <f>(E27+F27)</f>
        <v>0</v>
      </c>
      <c r="H27" s="283"/>
    </row>
    <row r="28" spans="1:8" ht="15">
      <c r="A28" s="291" t="s">
        <v>122</v>
      </c>
      <c r="B28" s="292"/>
      <c r="C28" s="292"/>
      <c r="D28" s="293"/>
      <c r="E28" s="33">
        <f>E4</f>
        <v>0</v>
      </c>
      <c r="F28" s="33">
        <f>F4</f>
        <v>0</v>
      </c>
      <c r="G28" s="74">
        <f>E28+F28</f>
        <v>0</v>
      </c>
      <c r="H28" s="283"/>
    </row>
    <row r="29" spans="1:8" ht="18.75" customHeight="1">
      <c r="A29" s="294" t="s">
        <v>123</v>
      </c>
      <c r="B29" s="295"/>
      <c r="C29" s="295"/>
      <c r="D29" s="296"/>
      <c r="E29" s="46">
        <f>E27+E28</f>
        <v>0</v>
      </c>
      <c r="F29" s="46">
        <f>F27+F28</f>
        <v>0</v>
      </c>
      <c r="G29" s="73">
        <f>G27+G28</f>
        <v>0</v>
      </c>
      <c r="H29" s="283"/>
    </row>
    <row r="30" spans="1:8" ht="34.5" customHeight="1">
      <c r="A30" s="287" t="s">
        <v>124</v>
      </c>
      <c r="B30" s="288"/>
      <c r="C30" s="289"/>
      <c r="D30" s="119"/>
      <c r="E30" s="285"/>
      <c r="F30" s="286"/>
      <c r="G30" s="73">
        <f>(D30*D4)</f>
        <v>0</v>
      </c>
      <c r="H30" s="283"/>
    </row>
    <row r="31" spans="1:8">
      <c r="A31" s="248"/>
      <c r="B31" s="248"/>
      <c r="C31" s="248"/>
      <c r="D31" s="248"/>
      <c r="E31" s="248"/>
      <c r="F31" s="248"/>
      <c r="G31" s="248"/>
      <c r="H31" s="284"/>
    </row>
  </sheetData>
  <mergeCells count="18">
    <mergeCell ref="H1:H31"/>
    <mergeCell ref="A31:G31"/>
    <mergeCell ref="E30:F30"/>
    <mergeCell ref="A30:C30"/>
    <mergeCell ref="I2:I3"/>
    <mergeCell ref="A27:D27"/>
    <mergeCell ref="A28:D28"/>
    <mergeCell ref="A29:D29"/>
    <mergeCell ref="G2:G3"/>
    <mergeCell ref="A2:A3"/>
    <mergeCell ref="A5:G5"/>
    <mergeCell ref="B2:B3"/>
    <mergeCell ref="A1:G1"/>
    <mergeCell ref="A26:G26"/>
    <mergeCell ref="C2:C3"/>
    <mergeCell ref="D2:D3"/>
    <mergeCell ref="E2:E3"/>
    <mergeCell ref="F2:F3"/>
  </mergeCells>
  <phoneticPr fontId="7" type="noConversion"/>
  <printOptions verticalCentered="1" gridLines="1"/>
  <pageMargins left="0" right="0" top="0" bottom="0" header="0" footer="0"/>
  <pageSetup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249977111117893"/>
  </sheetPr>
  <dimension ref="A1:I31"/>
  <sheetViews>
    <sheetView workbookViewId="0">
      <pane ySplit="5" topLeftCell="A6" activePane="bottomLeft" state="frozen"/>
      <selection pane="bottomLeft" activeCell="B4" sqref="B4"/>
    </sheetView>
  </sheetViews>
  <sheetFormatPr defaultRowHeight="12.75"/>
  <cols>
    <col min="1" max="1" width="26.5703125" customWidth="1"/>
    <col min="2" max="2" width="12" customWidth="1"/>
    <col min="3" max="3" width="13.140625" customWidth="1"/>
    <col min="4" max="4" width="10.140625" customWidth="1"/>
    <col min="5" max="5" width="17" customWidth="1"/>
    <col min="6" max="6" width="15.85546875" customWidth="1"/>
    <col min="7" max="7" width="15.28515625" customWidth="1"/>
    <col min="8" max="8" width="2.7109375" customWidth="1"/>
    <col min="9" max="9" width="24.28515625" customWidth="1"/>
    <col min="10" max="10" width="1.140625" customWidth="1"/>
    <col min="11" max="11" width="1.42578125" customWidth="1"/>
    <col min="12" max="12" width="1" customWidth="1"/>
  </cols>
  <sheetData>
    <row r="1" spans="1:9" ht="18" customHeight="1">
      <c r="A1" s="412" t="s">
        <v>125</v>
      </c>
      <c r="B1" s="413"/>
      <c r="C1" s="413"/>
      <c r="D1" s="413"/>
      <c r="E1" s="413"/>
      <c r="F1" s="413"/>
      <c r="G1" s="413"/>
      <c r="H1" s="283"/>
      <c r="I1" s="306" t="s">
        <v>3</v>
      </c>
    </row>
    <row r="2" spans="1:9" ht="12.75" customHeight="1">
      <c r="A2" s="298" t="s">
        <v>114</v>
      </c>
      <c r="B2" s="276" t="s">
        <v>126</v>
      </c>
      <c r="C2" s="276" t="s">
        <v>127</v>
      </c>
      <c r="D2" s="276" t="s">
        <v>86</v>
      </c>
      <c r="E2" s="276" t="s">
        <v>117</v>
      </c>
      <c r="F2" s="276" t="s">
        <v>118</v>
      </c>
      <c r="G2" s="257" t="s">
        <v>119</v>
      </c>
      <c r="H2" s="283"/>
      <c r="I2" s="306"/>
    </row>
    <row r="3" spans="1:9" ht="22.5" customHeight="1">
      <c r="A3" s="302"/>
      <c r="B3" s="304"/>
      <c r="C3" s="303"/>
      <c r="D3" s="303"/>
      <c r="E3" s="303"/>
      <c r="F3" s="303"/>
      <c r="G3" s="305"/>
      <c r="H3" s="283"/>
      <c r="I3" s="290" t="s">
        <v>57</v>
      </c>
    </row>
    <row r="4" spans="1:9" ht="18" customHeight="1">
      <c r="A4" s="105" t="s">
        <v>128</v>
      </c>
      <c r="B4" s="46">
        <f>MACH1718!C138</f>
        <v>17.384999999999998</v>
      </c>
      <c r="C4" s="46">
        <f>MACH1718!D138</f>
        <v>3.5279999999999996</v>
      </c>
      <c r="D4" s="79">
        <f>SUM(D6:D25)</f>
        <v>0</v>
      </c>
      <c r="E4" s="46">
        <f>(B4*D4)</f>
        <v>0</v>
      </c>
      <c r="F4" s="46">
        <f>(C4*D4)</f>
        <v>0</v>
      </c>
      <c r="G4" s="73">
        <f>(E4+F4)</f>
        <v>0</v>
      </c>
      <c r="H4" s="283"/>
      <c r="I4" s="290"/>
    </row>
    <row r="5" spans="1:9" ht="15">
      <c r="A5" s="275"/>
      <c r="B5" s="275"/>
      <c r="C5" s="275"/>
      <c r="D5" s="275"/>
      <c r="E5" s="275"/>
      <c r="F5" s="275"/>
      <c r="G5" s="275"/>
      <c r="H5" s="283"/>
    </row>
    <row r="6" spans="1:9">
      <c r="A6" s="21"/>
      <c r="B6" s="29"/>
      <c r="C6" s="29"/>
      <c r="D6" s="26"/>
      <c r="E6" s="7">
        <f t="shared" ref="E6:E20" si="0">(B6*D6)</f>
        <v>0</v>
      </c>
      <c r="F6" s="7">
        <f t="shared" ref="F6:F20" si="1">(C6*D6)</f>
        <v>0</v>
      </c>
      <c r="G6" s="72">
        <f t="shared" ref="G6:G20" si="2">(E6+F6)</f>
        <v>0</v>
      </c>
      <c r="H6" s="283"/>
    </row>
    <row r="7" spans="1:9">
      <c r="A7" s="21"/>
      <c r="B7" s="29"/>
      <c r="C7" s="29"/>
      <c r="D7" s="25"/>
      <c r="E7" s="7">
        <f t="shared" si="0"/>
        <v>0</v>
      </c>
      <c r="F7" s="7">
        <f t="shared" si="1"/>
        <v>0</v>
      </c>
      <c r="G7" s="72">
        <f t="shared" si="2"/>
        <v>0</v>
      </c>
      <c r="H7" s="283"/>
    </row>
    <row r="8" spans="1:9">
      <c r="A8" s="21"/>
      <c r="B8" s="29"/>
      <c r="C8" s="29"/>
      <c r="D8" s="26"/>
      <c r="E8" s="7">
        <f t="shared" si="0"/>
        <v>0</v>
      </c>
      <c r="F8" s="7">
        <f t="shared" si="1"/>
        <v>0</v>
      </c>
      <c r="G8" s="72">
        <f t="shared" si="2"/>
        <v>0</v>
      </c>
      <c r="H8" s="283"/>
    </row>
    <row r="9" spans="1:9">
      <c r="A9" s="21"/>
      <c r="B9" s="29"/>
      <c r="C9" s="29"/>
      <c r="D9" s="26"/>
      <c r="E9" s="7">
        <f t="shared" si="0"/>
        <v>0</v>
      </c>
      <c r="F9" s="7">
        <f t="shared" si="1"/>
        <v>0</v>
      </c>
      <c r="G9" s="72">
        <f t="shared" si="2"/>
        <v>0</v>
      </c>
      <c r="H9" s="283"/>
    </row>
    <row r="10" spans="1:9">
      <c r="A10" s="21"/>
      <c r="B10" s="29"/>
      <c r="C10" s="29"/>
      <c r="D10" s="26"/>
      <c r="E10" s="7">
        <f t="shared" si="0"/>
        <v>0</v>
      </c>
      <c r="F10" s="7">
        <f t="shared" si="1"/>
        <v>0</v>
      </c>
      <c r="G10" s="72">
        <f t="shared" si="2"/>
        <v>0</v>
      </c>
      <c r="H10" s="283"/>
    </row>
    <row r="11" spans="1:9">
      <c r="A11" s="21"/>
      <c r="B11" s="29"/>
      <c r="C11" s="29"/>
      <c r="D11" s="26"/>
      <c r="E11" s="7">
        <f t="shared" si="0"/>
        <v>0</v>
      </c>
      <c r="F11" s="7">
        <f t="shared" si="1"/>
        <v>0</v>
      </c>
      <c r="G11" s="72">
        <f t="shared" si="2"/>
        <v>0</v>
      </c>
      <c r="H11" s="283"/>
    </row>
    <row r="12" spans="1:9">
      <c r="A12" s="21"/>
      <c r="B12" s="29"/>
      <c r="C12" s="29"/>
      <c r="D12" s="26"/>
      <c r="E12" s="7">
        <f t="shared" si="0"/>
        <v>0</v>
      </c>
      <c r="F12" s="7">
        <f t="shared" si="1"/>
        <v>0</v>
      </c>
      <c r="G12" s="72">
        <f t="shared" si="2"/>
        <v>0</v>
      </c>
      <c r="H12" s="283"/>
    </row>
    <row r="13" spans="1:9">
      <c r="A13" s="21"/>
      <c r="B13" s="29"/>
      <c r="C13" s="29"/>
      <c r="D13" s="25"/>
      <c r="E13" s="7">
        <f t="shared" si="0"/>
        <v>0</v>
      </c>
      <c r="F13" s="7">
        <f t="shared" si="1"/>
        <v>0</v>
      </c>
      <c r="G13" s="72">
        <f t="shared" si="2"/>
        <v>0</v>
      </c>
      <c r="H13" s="283"/>
    </row>
    <row r="14" spans="1:9">
      <c r="A14" s="21"/>
      <c r="B14" s="29"/>
      <c r="C14" s="29"/>
      <c r="D14" s="25"/>
      <c r="E14" s="7">
        <f t="shared" si="0"/>
        <v>0</v>
      </c>
      <c r="F14" s="7">
        <f t="shared" si="1"/>
        <v>0</v>
      </c>
      <c r="G14" s="72">
        <f t="shared" si="2"/>
        <v>0</v>
      </c>
      <c r="H14" s="283"/>
    </row>
    <row r="15" spans="1:9">
      <c r="A15" s="21"/>
      <c r="B15" s="29"/>
      <c r="C15" s="29"/>
      <c r="D15" s="25"/>
      <c r="E15" s="7">
        <f t="shared" si="0"/>
        <v>0</v>
      </c>
      <c r="F15" s="7">
        <f t="shared" si="1"/>
        <v>0</v>
      </c>
      <c r="G15" s="72">
        <f t="shared" si="2"/>
        <v>0</v>
      </c>
      <c r="H15" s="283"/>
    </row>
    <row r="16" spans="1:9">
      <c r="A16" s="21"/>
      <c r="B16" s="29"/>
      <c r="C16" s="29"/>
      <c r="D16" s="25"/>
      <c r="E16" s="7">
        <f t="shared" si="0"/>
        <v>0</v>
      </c>
      <c r="F16" s="7">
        <f t="shared" si="1"/>
        <v>0</v>
      </c>
      <c r="G16" s="72">
        <f t="shared" si="2"/>
        <v>0</v>
      </c>
      <c r="H16" s="283"/>
    </row>
    <row r="17" spans="1:8">
      <c r="A17" s="21"/>
      <c r="B17" s="29"/>
      <c r="C17" s="29"/>
      <c r="D17" s="25"/>
      <c r="E17" s="7">
        <f t="shared" si="0"/>
        <v>0</v>
      </c>
      <c r="F17" s="7">
        <f t="shared" si="1"/>
        <v>0</v>
      </c>
      <c r="G17" s="72">
        <f t="shared" si="2"/>
        <v>0</v>
      </c>
      <c r="H17" s="283"/>
    </row>
    <row r="18" spans="1:8">
      <c r="A18" s="21"/>
      <c r="B18" s="29"/>
      <c r="C18" s="29"/>
      <c r="D18" s="25"/>
      <c r="E18" s="7">
        <f t="shared" si="0"/>
        <v>0</v>
      </c>
      <c r="F18" s="7">
        <f t="shared" si="1"/>
        <v>0</v>
      </c>
      <c r="G18" s="72">
        <f t="shared" si="2"/>
        <v>0</v>
      </c>
      <c r="H18" s="283"/>
    </row>
    <row r="19" spans="1:8">
      <c r="A19" s="21"/>
      <c r="B19" s="29"/>
      <c r="C19" s="29"/>
      <c r="D19" s="25"/>
      <c r="E19" s="7">
        <f t="shared" si="0"/>
        <v>0</v>
      </c>
      <c r="F19" s="7">
        <f t="shared" si="1"/>
        <v>0</v>
      </c>
      <c r="G19" s="72">
        <f t="shared" si="2"/>
        <v>0</v>
      </c>
      <c r="H19" s="283"/>
    </row>
    <row r="20" spans="1:8">
      <c r="A20" s="21"/>
      <c r="B20" s="29"/>
      <c r="C20" s="29"/>
      <c r="D20" s="25"/>
      <c r="E20" s="7">
        <f t="shared" si="0"/>
        <v>0</v>
      </c>
      <c r="F20" s="7">
        <f t="shared" si="1"/>
        <v>0</v>
      </c>
      <c r="G20" s="72">
        <f t="shared" si="2"/>
        <v>0</v>
      </c>
      <c r="H20" s="283"/>
    </row>
    <row r="21" spans="1:8">
      <c r="A21" s="77"/>
      <c r="B21" s="29"/>
      <c r="C21" s="29"/>
      <c r="D21" s="78"/>
      <c r="E21" s="7">
        <f>(B21*D21)</f>
        <v>0</v>
      </c>
      <c r="F21" s="7">
        <f>(C21*D21)</f>
        <v>0</v>
      </c>
      <c r="G21" s="72">
        <f>(E21+F21)</f>
        <v>0</v>
      </c>
      <c r="H21" s="283"/>
    </row>
    <row r="22" spans="1:8">
      <c r="A22" s="77"/>
      <c r="B22" s="29"/>
      <c r="C22" s="29"/>
      <c r="D22" s="78"/>
      <c r="E22" s="7">
        <f>(B22*D22)</f>
        <v>0</v>
      </c>
      <c r="F22" s="7">
        <f>(C22*D22)</f>
        <v>0</v>
      </c>
      <c r="G22" s="72">
        <f>(E22+F22)</f>
        <v>0</v>
      </c>
      <c r="H22" s="283"/>
    </row>
    <row r="23" spans="1:8">
      <c r="A23" s="77"/>
      <c r="B23" s="29"/>
      <c r="C23" s="29"/>
      <c r="D23" s="78"/>
      <c r="E23" s="7">
        <f>(B23*D23)</f>
        <v>0</v>
      </c>
      <c r="F23" s="7">
        <f>(C23*D23)</f>
        <v>0</v>
      </c>
      <c r="G23" s="72">
        <f>(E23+F23)</f>
        <v>0</v>
      </c>
      <c r="H23" s="283"/>
    </row>
    <row r="24" spans="1:8">
      <c r="A24" s="77"/>
      <c r="B24" s="29"/>
      <c r="C24" s="29"/>
      <c r="D24" s="78"/>
      <c r="E24" s="7">
        <f>(B24*D24)</f>
        <v>0</v>
      </c>
      <c r="F24" s="7">
        <f>(C24*D24)</f>
        <v>0</v>
      </c>
      <c r="G24" s="72">
        <f>(E24+F24)</f>
        <v>0</v>
      </c>
      <c r="H24" s="283"/>
    </row>
    <row r="25" spans="1:8">
      <c r="A25" s="77"/>
      <c r="B25" s="29"/>
      <c r="C25" s="29"/>
      <c r="D25" s="78"/>
      <c r="E25" s="7">
        <f>(B25*D25)</f>
        <v>0</v>
      </c>
      <c r="F25" s="7">
        <f>(C25*D25)</f>
        <v>0</v>
      </c>
      <c r="G25" s="72">
        <f>(E25+F25)</f>
        <v>0</v>
      </c>
      <c r="H25" s="283"/>
    </row>
    <row r="26" spans="1:8">
      <c r="A26" s="242"/>
      <c r="B26" s="242"/>
      <c r="C26" s="242"/>
      <c r="D26" s="242"/>
      <c r="E26" s="242"/>
      <c r="F26" s="242"/>
      <c r="G26" s="242"/>
      <c r="H26" s="283"/>
    </row>
    <row r="27" spans="1:8" ht="15">
      <c r="A27" s="291" t="s">
        <v>121</v>
      </c>
      <c r="B27" s="292"/>
      <c r="C27" s="292"/>
      <c r="D27" s="293"/>
      <c r="E27" s="33">
        <f>SUM(E6:E25)</f>
        <v>0</v>
      </c>
      <c r="F27" s="33">
        <f>SUM(F6:F25)</f>
        <v>0</v>
      </c>
      <c r="G27" s="74">
        <f>(E27+F27)</f>
        <v>0</v>
      </c>
      <c r="H27" s="283"/>
    </row>
    <row r="28" spans="1:8" ht="15">
      <c r="A28" s="291" t="s">
        <v>122</v>
      </c>
      <c r="B28" s="292"/>
      <c r="C28" s="292"/>
      <c r="D28" s="293"/>
      <c r="E28" s="33">
        <f>E4</f>
        <v>0</v>
      </c>
      <c r="F28" s="33">
        <f>F4</f>
        <v>0</v>
      </c>
      <c r="G28" s="74">
        <f>E28+F28</f>
        <v>0</v>
      </c>
      <c r="H28" s="283"/>
    </row>
    <row r="29" spans="1:8" ht="20.25" customHeight="1">
      <c r="A29" s="294" t="s">
        <v>123</v>
      </c>
      <c r="B29" s="295"/>
      <c r="C29" s="295"/>
      <c r="D29" s="296"/>
      <c r="E29" s="46">
        <f>E27+E28</f>
        <v>0</v>
      </c>
      <c r="F29" s="46">
        <f>F27+F28</f>
        <v>0</v>
      </c>
      <c r="G29" s="73">
        <f>G27+G28</f>
        <v>0</v>
      </c>
      <c r="H29" s="283"/>
    </row>
    <row r="30" spans="1:8" ht="31.5" customHeight="1">
      <c r="A30" s="287" t="s">
        <v>124</v>
      </c>
      <c r="B30" s="288"/>
      <c r="C30" s="289"/>
      <c r="D30" s="117"/>
      <c r="E30" s="300"/>
      <c r="F30" s="301"/>
      <c r="G30" s="73">
        <f>(D30*D4)</f>
        <v>0</v>
      </c>
      <c r="H30" s="283"/>
    </row>
    <row r="31" spans="1:8" ht="12.75" customHeight="1">
      <c r="A31" s="248"/>
      <c r="B31" s="248"/>
      <c r="C31" s="248"/>
      <c r="D31" s="248"/>
      <c r="E31" s="248"/>
      <c r="F31" s="248"/>
      <c r="G31" s="248"/>
      <c r="H31" s="284"/>
    </row>
  </sheetData>
  <mergeCells count="19">
    <mergeCell ref="I3:I4"/>
    <mergeCell ref="A26:G26"/>
    <mergeCell ref="G2:G3"/>
    <mergeCell ref="A5:G5"/>
    <mergeCell ref="F2:F3"/>
    <mergeCell ref="I1:I2"/>
    <mergeCell ref="H1:H31"/>
    <mergeCell ref="A31:G31"/>
    <mergeCell ref="A28:D28"/>
    <mergeCell ref="A29:D29"/>
    <mergeCell ref="E30:F30"/>
    <mergeCell ref="A1:G1"/>
    <mergeCell ref="A2:A3"/>
    <mergeCell ref="C2:C3"/>
    <mergeCell ref="B2:B3"/>
    <mergeCell ref="D2:D3"/>
    <mergeCell ref="E2:E3"/>
    <mergeCell ref="A27:D27"/>
    <mergeCell ref="A30:C30"/>
  </mergeCells>
  <phoneticPr fontId="7" type="noConversion"/>
  <printOptions verticalCentered="1" gridLines="1"/>
  <pageMargins left="0" right="0" top="0" bottom="0" header="0" footer="0"/>
  <pageSetup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/>
  </sheetPr>
  <dimension ref="A1:I32"/>
  <sheetViews>
    <sheetView workbookViewId="0">
      <pane ySplit="5" topLeftCell="A6" activePane="bottomLeft" state="frozen"/>
      <selection pane="bottomLeft" activeCell="C13" sqref="C13"/>
    </sheetView>
  </sheetViews>
  <sheetFormatPr defaultRowHeight="12.75"/>
  <cols>
    <col min="1" max="1" width="31.42578125" customWidth="1"/>
    <col min="2" max="2" width="10.140625" customWidth="1"/>
    <col min="3" max="3" width="9.7109375" customWidth="1"/>
    <col min="4" max="4" width="9.85546875" customWidth="1"/>
    <col min="5" max="5" width="15.42578125" customWidth="1"/>
    <col min="6" max="6" width="12.42578125" customWidth="1"/>
    <col min="7" max="7" width="12.5703125" customWidth="1"/>
    <col min="8" max="8" width="2.28515625" customWidth="1"/>
    <col min="9" max="9" width="23.85546875" customWidth="1"/>
    <col min="10" max="10" width="1.7109375" customWidth="1"/>
    <col min="11" max="11" width="1.140625" customWidth="1"/>
  </cols>
  <sheetData>
    <row r="1" spans="1:9" ht="22.5" customHeight="1">
      <c r="A1" s="312" t="s">
        <v>129</v>
      </c>
      <c r="B1" s="312"/>
      <c r="C1" s="312"/>
      <c r="D1" s="312"/>
      <c r="E1" s="312"/>
      <c r="F1" s="312"/>
      <c r="G1" s="313"/>
      <c r="H1" s="414"/>
      <c r="I1" s="306" t="s">
        <v>3</v>
      </c>
    </row>
    <row r="2" spans="1:9" ht="12.75" customHeight="1">
      <c r="A2" s="298" t="s">
        <v>114</v>
      </c>
      <c r="B2" s="276" t="s">
        <v>115</v>
      </c>
      <c r="C2" s="276" t="s">
        <v>116</v>
      </c>
      <c r="D2" s="265" t="s">
        <v>86</v>
      </c>
      <c r="E2" s="276" t="s">
        <v>117</v>
      </c>
      <c r="F2" s="276" t="s">
        <v>118</v>
      </c>
      <c r="G2" s="257" t="s">
        <v>119</v>
      </c>
      <c r="H2" s="414"/>
      <c r="I2" s="306"/>
    </row>
    <row r="3" spans="1:9" ht="28.5" customHeight="1">
      <c r="A3" s="299"/>
      <c r="B3" s="277"/>
      <c r="C3" s="281"/>
      <c r="D3" s="266"/>
      <c r="E3" s="277"/>
      <c r="F3" s="277"/>
      <c r="G3" s="297"/>
      <c r="H3" s="414"/>
      <c r="I3" s="91" t="s">
        <v>57</v>
      </c>
    </row>
    <row r="4" spans="1:9" ht="16.5" customHeight="1">
      <c r="A4" s="111" t="s">
        <v>130</v>
      </c>
      <c r="B4" s="46">
        <f>MACH1718!C140</f>
        <v>22.338199999999997</v>
      </c>
      <c r="C4" s="46">
        <f>MACH1718!D140</f>
        <v>4.8384</v>
      </c>
      <c r="D4" s="79">
        <f>SUM(D6:D25)</f>
        <v>3.7800000000000002</v>
      </c>
      <c r="E4" s="46">
        <f>(B4*D4)</f>
        <v>84.438395999999997</v>
      </c>
      <c r="F4" s="46">
        <f>(C4*D4)</f>
        <v>18.289152000000001</v>
      </c>
      <c r="G4" s="73">
        <f>E4+F4</f>
        <v>102.727548</v>
      </c>
      <c r="H4" s="414"/>
      <c r="I4" s="91"/>
    </row>
    <row r="5" spans="1:9" ht="11.25" customHeight="1">
      <c r="A5" s="275"/>
      <c r="B5" s="275"/>
      <c r="C5" s="275"/>
      <c r="D5" s="275"/>
      <c r="E5" s="275"/>
      <c r="F5" s="275"/>
      <c r="G5" s="275"/>
      <c r="H5" s="415"/>
    </row>
    <row r="6" spans="1:9">
      <c r="A6" s="21" t="s">
        <v>131</v>
      </c>
      <c r="B6" s="29">
        <f>MACH1718!C35</f>
        <v>11.101999999999999</v>
      </c>
      <c r="C6" s="29">
        <f>MACH1718!D35</f>
        <v>8.9207999999999998</v>
      </c>
      <c r="D6" s="107">
        <v>0.8</v>
      </c>
      <c r="E6" s="7">
        <f t="shared" ref="E6:E20" si="0">(B6*D6)</f>
        <v>8.8815999999999988</v>
      </c>
      <c r="F6" s="7">
        <f t="shared" ref="F6:F20" si="1">(C6*D6)</f>
        <v>7.1366399999999999</v>
      </c>
      <c r="G6" s="72">
        <f t="shared" ref="G6:G20" si="2">(E6+F6)</f>
        <v>16.018239999999999</v>
      </c>
      <c r="H6" s="414"/>
    </row>
    <row r="7" spans="1:9">
      <c r="A7" s="21" t="s">
        <v>132</v>
      </c>
      <c r="B7" s="29">
        <f>MACH1718!C38</f>
        <v>1.8422000000000001</v>
      </c>
      <c r="C7" s="29">
        <f>MACH1718!D38</f>
        <v>2.1545999999999998</v>
      </c>
      <c r="D7" s="107">
        <v>0.13</v>
      </c>
      <c r="E7" s="7">
        <f t="shared" si="0"/>
        <v>0.239486</v>
      </c>
      <c r="F7" s="7">
        <f t="shared" si="1"/>
        <v>0.28009800000000001</v>
      </c>
      <c r="G7" s="72">
        <f t="shared" si="2"/>
        <v>0.51958400000000005</v>
      </c>
      <c r="H7" s="414"/>
    </row>
    <row r="8" spans="1:9">
      <c r="A8" s="21" t="s">
        <v>88</v>
      </c>
      <c r="B8" s="29">
        <f>MACH1718!C167</f>
        <v>0.34160000000000001</v>
      </c>
      <c r="C8" s="29">
        <f>MACH1718!D167</f>
        <v>1.3734000000000002</v>
      </c>
      <c r="D8" s="32">
        <v>1.52</v>
      </c>
      <c r="E8" s="7">
        <f t="shared" si="0"/>
        <v>0.51923200000000003</v>
      </c>
      <c r="F8" s="7">
        <f t="shared" si="1"/>
        <v>2.0875680000000001</v>
      </c>
      <c r="G8" s="72">
        <f t="shared" si="2"/>
        <v>2.6068000000000002</v>
      </c>
      <c r="H8" s="414"/>
    </row>
    <row r="9" spans="1:9">
      <c r="A9" s="77" t="s">
        <v>104</v>
      </c>
      <c r="B9" s="29">
        <f>MACH1718!C47</f>
        <v>3.1597999999999997</v>
      </c>
      <c r="C9" s="29">
        <f>MACH1718!D47</f>
        <v>4.2966000000000006</v>
      </c>
      <c r="D9" s="78">
        <v>1.33</v>
      </c>
      <c r="E9" s="7">
        <f t="shared" si="0"/>
        <v>4.202534</v>
      </c>
      <c r="F9" s="7">
        <f t="shared" si="1"/>
        <v>5.7144780000000015</v>
      </c>
      <c r="G9" s="72">
        <f t="shared" si="2"/>
        <v>9.9170120000000015</v>
      </c>
      <c r="H9" s="414"/>
    </row>
    <row r="10" spans="1:9">
      <c r="A10" s="21"/>
      <c r="B10" s="29"/>
      <c r="C10" s="29"/>
      <c r="D10" s="26"/>
      <c r="E10" s="7">
        <f t="shared" si="0"/>
        <v>0</v>
      </c>
      <c r="F10" s="7">
        <f t="shared" si="1"/>
        <v>0</v>
      </c>
      <c r="G10" s="72">
        <f t="shared" si="2"/>
        <v>0</v>
      </c>
      <c r="H10" s="414"/>
    </row>
    <row r="11" spans="1:9">
      <c r="A11" s="21"/>
      <c r="B11" s="29"/>
      <c r="C11" s="29"/>
      <c r="D11" s="26"/>
      <c r="E11" s="7">
        <f t="shared" si="0"/>
        <v>0</v>
      </c>
      <c r="F11" s="7">
        <f t="shared" si="1"/>
        <v>0</v>
      </c>
      <c r="G11" s="72">
        <f t="shared" si="2"/>
        <v>0</v>
      </c>
      <c r="H11" s="414"/>
    </row>
    <row r="12" spans="1:9">
      <c r="A12" s="21"/>
      <c r="B12" s="29"/>
      <c r="C12" s="29"/>
      <c r="D12" s="26"/>
      <c r="E12" s="7">
        <f t="shared" si="0"/>
        <v>0</v>
      </c>
      <c r="F12" s="7">
        <f t="shared" si="1"/>
        <v>0</v>
      </c>
      <c r="G12" s="72">
        <f t="shared" si="2"/>
        <v>0</v>
      </c>
      <c r="H12" s="414"/>
    </row>
    <row r="13" spans="1:9">
      <c r="A13" s="21"/>
      <c r="B13" s="29"/>
      <c r="C13" s="29"/>
      <c r="D13" s="25"/>
      <c r="E13" s="7">
        <f t="shared" si="0"/>
        <v>0</v>
      </c>
      <c r="F13" s="7">
        <f t="shared" si="1"/>
        <v>0</v>
      </c>
      <c r="G13" s="72">
        <f t="shared" si="2"/>
        <v>0</v>
      </c>
      <c r="H13" s="414"/>
    </row>
    <row r="14" spans="1:9">
      <c r="A14" s="21"/>
      <c r="B14" s="29"/>
      <c r="C14" s="29"/>
      <c r="D14" s="25"/>
      <c r="E14" s="7">
        <f t="shared" si="0"/>
        <v>0</v>
      </c>
      <c r="F14" s="7">
        <f t="shared" si="1"/>
        <v>0</v>
      </c>
      <c r="G14" s="72">
        <f t="shared" si="2"/>
        <v>0</v>
      </c>
      <c r="H14" s="414"/>
    </row>
    <row r="15" spans="1:9">
      <c r="A15" s="21"/>
      <c r="B15" s="29"/>
      <c r="C15" s="29"/>
      <c r="D15" s="25"/>
      <c r="E15" s="7">
        <f t="shared" si="0"/>
        <v>0</v>
      </c>
      <c r="F15" s="7">
        <f t="shared" si="1"/>
        <v>0</v>
      </c>
      <c r="G15" s="72">
        <f t="shared" si="2"/>
        <v>0</v>
      </c>
      <c r="H15" s="414"/>
    </row>
    <row r="16" spans="1:9">
      <c r="A16" s="21"/>
      <c r="B16" s="29"/>
      <c r="C16" s="29"/>
      <c r="D16" s="25"/>
      <c r="E16" s="7">
        <f t="shared" si="0"/>
        <v>0</v>
      </c>
      <c r="F16" s="7">
        <f t="shared" si="1"/>
        <v>0</v>
      </c>
      <c r="G16" s="72">
        <f t="shared" si="2"/>
        <v>0</v>
      </c>
      <c r="H16" s="414"/>
    </row>
    <row r="17" spans="1:8">
      <c r="A17" s="21"/>
      <c r="B17" s="29"/>
      <c r="C17" s="29"/>
      <c r="D17" s="25"/>
      <c r="E17" s="7">
        <f t="shared" si="0"/>
        <v>0</v>
      </c>
      <c r="F17" s="7">
        <f t="shared" si="1"/>
        <v>0</v>
      </c>
      <c r="G17" s="72">
        <f t="shared" si="2"/>
        <v>0</v>
      </c>
      <c r="H17" s="414"/>
    </row>
    <row r="18" spans="1:8">
      <c r="A18" s="21"/>
      <c r="B18" s="29"/>
      <c r="C18" s="29"/>
      <c r="D18" s="25"/>
      <c r="E18" s="7">
        <f t="shared" si="0"/>
        <v>0</v>
      </c>
      <c r="F18" s="7">
        <f t="shared" si="1"/>
        <v>0</v>
      </c>
      <c r="G18" s="72">
        <f t="shared" si="2"/>
        <v>0</v>
      </c>
      <c r="H18" s="414"/>
    </row>
    <row r="19" spans="1:8">
      <c r="A19" s="21"/>
      <c r="B19" s="29"/>
      <c r="C19" s="29"/>
      <c r="D19" s="25"/>
      <c r="E19" s="7">
        <f t="shared" si="0"/>
        <v>0</v>
      </c>
      <c r="F19" s="7">
        <f t="shared" si="1"/>
        <v>0</v>
      </c>
      <c r="G19" s="72">
        <f t="shared" si="2"/>
        <v>0</v>
      </c>
      <c r="H19" s="414"/>
    </row>
    <row r="20" spans="1:8">
      <c r="A20" s="21"/>
      <c r="B20" s="29"/>
      <c r="C20" s="29"/>
      <c r="D20" s="25"/>
      <c r="E20" s="7">
        <f t="shared" si="0"/>
        <v>0</v>
      </c>
      <c r="F20" s="7">
        <f t="shared" si="1"/>
        <v>0</v>
      </c>
      <c r="G20" s="72">
        <f t="shared" si="2"/>
        <v>0</v>
      </c>
      <c r="H20" s="414"/>
    </row>
    <row r="21" spans="1:8">
      <c r="A21" s="77"/>
      <c r="B21" s="29"/>
      <c r="C21" s="29"/>
      <c r="D21" s="78"/>
      <c r="E21" s="7">
        <f>(B21*D21)</f>
        <v>0</v>
      </c>
      <c r="F21" s="7">
        <f>(C21*D21)</f>
        <v>0</v>
      </c>
      <c r="G21" s="72">
        <f>(E21+F21)</f>
        <v>0</v>
      </c>
      <c r="H21" s="414"/>
    </row>
    <row r="22" spans="1:8">
      <c r="A22" s="77"/>
      <c r="B22" s="29"/>
      <c r="C22" s="29"/>
      <c r="D22" s="78"/>
      <c r="E22" s="7">
        <f>(B22*D22)</f>
        <v>0</v>
      </c>
      <c r="F22" s="7">
        <f>(C22*D22)</f>
        <v>0</v>
      </c>
      <c r="G22" s="72">
        <f>(E22+F22)</f>
        <v>0</v>
      </c>
      <c r="H22" s="414"/>
    </row>
    <row r="23" spans="1:8">
      <c r="A23" s="77"/>
      <c r="B23" s="29"/>
      <c r="C23" s="29"/>
      <c r="D23" s="78"/>
      <c r="E23" s="7">
        <f>(B23*D23)</f>
        <v>0</v>
      </c>
      <c r="F23" s="7">
        <f>(C23*D23)</f>
        <v>0</v>
      </c>
      <c r="G23" s="72">
        <f>(E23+F23)</f>
        <v>0</v>
      </c>
      <c r="H23" s="414"/>
    </row>
    <row r="24" spans="1:8">
      <c r="A24" s="77"/>
      <c r="B24" s="29"/>
      <c r="C24" s="29"/>
      <c r="D24" s="78"/>
      <c r="E24" s="7">
        <f>(B24*D24)</f>
        <v>0</v>
      </c>
      <c r="F24" s="7">
        <f>(C24*D24)</f>
        <v>0</v>
      </c>
      <c r="G24" s="72">
        <f>(E24+F24)</f>
        <v>0</v>
      </c>
      <c r="H24" s="414"/>
    </row>
    <row r="25" spans="1:8">
      <c r="A25" s="77"/>
      <c r="B25" s="29"/>
      <c r="C25" s="29"/>
      <c r="D25" s="78"/>
      <c r="E25" s="7">
        <f>(B25*D25)</f>
        <v>0</v>
      </c>
      <c r="F25" s="7">
        <f>(C25*D25)</f>
        <v>0</v>
      </c>
      <c r="G25" s="72">
        <f>(E25+F25)</f>
        <v>0</v>
      </c>
      <c r="H25" s="414"/>
    </row>
    <row r="26" spans="1:8">
      <c r="A26" s="242"/>
      <c r="B26" s="242"/>
      <c r="C26" s="242"/>
      <c r="D26" s="242"/>
      <c r="E26" s="242"/>
      <c r="F26" s="242"/>
      <c r="G26" s="242"/>
      <c r="H26" s="415"/>
    </row>
    <row r="27" spans="1:8" ht="15">
      <c r="A27" s="291" t="s">
        <v>121</v>
      </c>
      <c r="B27" s="292"/>
      <c r="C27" s="292"/>
      <c r="D27" s="293"/>
      <c r="E27" s="33">
        <f>SUM(E6:E25)</f>
        <v>13.842851999999999</v>
      </c>
      <c r="F27" s="33">
        <f>SUM(F6:F25)</f>
        <v>15.218784000000001</v>
      </c>
      <c r="G27" s="74">
        <f>(E27+F27)</f>
        <v>29.061636</v>
      </c>
      <c r="H27" s="414"/>
    </row>
    <row r="28" spans="1:8" ht="15">
      <c r="A28" s="291" t="s">
        <v>122</v>
      </c>
      <c r="B28" s="292"/>
      <c r="C28" s="292"/>
      <c r="D28" s="293"/>
      <c r="E28" s="33">
        <f>E4</f>
        <v>84.438395999999997</v>
      </c>
      <c r="F28" s="33">
        <f>F4</f>
        <v>18.289152000000001</v>
      </c>
      <c r="G28" s="74">
        <f>E28+F28</f>
        <v>102.727548</v>
      </c>
      <c r="H28" s="414"/>
    </row>
    <row r="29" spans="1:8" ht="15" customHeight="1">
      <c r="A29" s="294" t="s">
        <v>123</v>
      </c>
      <c r="B29" s="295"/>
      <c r="C29" s="295"/>
      <c r="D29" s="296"/>
      <c r="E29" s="46">
        <f>E27+E28</f>
        <v>98.281247999999991</v>
      </c>
      <c r="F29" s="46">
        <f>F27+F28</f>
        <v>33.507936000000001</v>
      </c>
      <c r="G29" s="73">
        <f>G27+G28</f>
        <v>131.78918400000001</v>
      </c>
      <c r="H29" s="414"/>
    </row>
    <row r="30" spans="1:8">
      <c r="A30" s="314" t="s">
        <v>124</v>
      </c>
      <c r="B30" s="315"/>
      <c r="C30" s="315"/>
      <c r="D30" s="317">
        <v>20</v>
      </c>
      <c r="E30" s="307"/>
      <c r="F30" s="308"/>
      <c r="G30" s="310">
        <f>(D30*D4)</f>
        <v>75.600000000000009</v>
      </c>
      <c r="H30" s="414"/>
    </row>
    <row r="31" spans="1:8" ht="21" customHeight="1">
      <c r="A31" s="316"/>
      <c r="B31" s="316"/>
      <c r="C31" s="316"/>
      <c r="D31" s="318"/>
      <c r="E31" s="256"/>
      <c r="F31" s="309"/>
      <c r="G31" s="311"/>
      <c r="H31" s="414"/>
    </row>
    <row r="32" spans="1:8">
      <c r="A32" s="248"/>
      <c r="B32" s="248"/>
      <c r="C32" s="248"/>
      <c r="D32" s="248"/>
      <c r="E32" s="248"/>
      <c r="F32" s="248"/>
      <c r="G32" s="248"/>
      <c r="H32" s="75"/>
    </row>
  </sheetData>
  <mergeCells count="20">
    <mergeCell ref="B2:B3"/>
    <mergeCell ref="A29:D29"/>
    <mergeCell ref="C2:C3"/>
    <mergeCell ref="D2:D3"/>
    <mergeCell ref="A32:G32"/>
    <mergeCell ref="I1:I2"/>
    <mergeCell ref="E30:F31"/>
    <mergeCell ref="E2:E3"/>
    <mergeCell ref="F2:F3"/>
    <mergeCell ref="G30:G31"/>
    <mergeCell ref="A26:G26"/>
    <mergeCell ref="A28:D28"/>
    <mergeCell ref="H1:H31"/>
    <mergeCell ref="G2:G3"/>
    <mergeCell ref="A1:G1"/>
    <mergeCell ref="A27:D27"/>
    <mergeCell ref="A30:C31"/>
    <mergeCell ref="D30:D31"/>
    <mergeCell ref="A5:G5"/>
    <mergeCell ref="A2:A3"/>
  </mergeCells>
  <phoneticPr fontId="7" type="noConversion"/>
  <printOptions verticalCentered="1" gridLines="1"/>
  <pageMargins left="0" right="0" top="0" bottom="0" header="0" footer="0"/>
  <pageSetup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249977111117893"/>
  </sheetPr>
  <dimension ref="A1:I31"/>
  <sheetViews>
    <sheetView workbookViewId="0">
      <pane ySplit="5" topLeftCell="A6" activePane="bottomLeft" state="frozen"/>
      <selection pane="bottomLeft" activeCell="D4" sqref="D4"/>
    </sheetView>
  </sheetViews>
  <sheetFormatPr defaultRowHeight="12.75"/>
  <cols>
    <col min="1" max="1" width="28.28515625" customWidth="1"/>
    <col min="2" max="2" width="11.28515625" customWidth="1"/>
    <col min="3" max="3" width="10.140625" customWidth="1"/>
    <col min="4" max="4" width="9.85546875" customWidth="1"/>
    <col min="5" max="5" width="15" customWidth="1"/>
    <col min="6" max="6" width="13.140625" customWidth="1"/>
    <col min="7" max="7" width="12.28515625" customWidth="1"/>
    <col min="8" max="8" width="2.5703125" customWidth="1"/>
    <col min="9" max="9" width="24" customWidth="1"/>
    <col min="10" max="10" width="1.5703125" customWidth="1"/>
    <col min="11" max="11" width="0.42578125" customWidth="1"/>
  </cols>
  <sheetData>
    <row r="1" spans="1:9" ht="26.25" customHeight="1">
      <c r="A1" s="278" t="s">
        <v>133</v>
      </c>
      <c r="B1" s="279"/>
      <c r="C1" s="279"/>
      <c r="D1" s="279"/>
      <c r="E1" s="279"/>
      <c r="F1" s="279"/>
      <c r="G1" s="279"/>
      <c r="H1" s="283"/>
      <c r="I1" s="306" t="s">
        <v>3</v>
      </c>
    </row>
    <row r="2" spans="1:9" ht="12.75" customHeight="1">
      <c r="A2" s="298" t="s">
        <v>114</v>
      </c>
      <c r="B2" s="276" t="s">
        <v>115</v>
      </c>
      <c r="C2" s="276" t="s">
        <v>116</v>
      </c>
      <c r="D2" s="265" t="s">
        <v>86</v>
      </c>
      <c r="E2" s="276" t="s">
        <v>117</v>
      </c>
      <c r="F2" s="276" t="s">
        <v>118</v>
      </c>
      <c r="G2" s="276" t="s">
        <v>119</v>
      </c>
      <c r="H2" s="283"/>
      <c r="I2" s="306"/>
    </row>
    <row r="3" spans="1:9" ht="29.25" customHeight="1">
      <c r="A3" s="299"/>
      <c r="B3" s="277"/>
      <c r="C3" s="281"/>
      <c r="D3" s="266"/>
      <c r="E3" s="277"/>
      <c r="F3" s="277"/>
      <c r="G3" s="277"/>
      <c r="H3" s="283"/>
      <c r="I3" s="91" t="s">
        <v>57</v>
      </c>
    </row>
    <row r="4" spans="1:9" ht="18.75" customHeight="1">
      <c r="A4" s="111" t="s">
        <v>134</v>
      </c>
      <c r="B4" s="46">
        <f>MACH1718!C141</f>
        <v>23.79</v>
      </c>
      <c r="C4" s="46">
        <f>MACH1718!D141</f>
        <v>4.9518000000000004</v>
      </c>
      <c r="D4" s="79">
        <f>SUM(D6:D25)</f>
        <v>0</v>
      </c>
      <c r="E4" s="46">
        <f>(B4*D4)</f>
        <v>0</v>
      </c>
      <c r="F4" s="46">
        <f>(C4*D4)</f>
        <v>0</v>
      </c>
      <c r="G4" s="46">
        <f>E4+F4</f>
        <v>0</v>
      </c>
      <c r="H4" s="283"/>
      <c r="I4" s="91"/>
    </row>
    <row r="5" spans="1:9" ht="12.75" customHeight="1">
      <c r="A5" s="275"/>
      <c r="B5" s="275"/>
      <c r="C5" s="275"/>
      <c r="D5" s="275"/>
      <c r="E5" s="275"/>
      <c r="F5" s="275"/>
      <c r="G5" s="275"/>
      <c r="H5" s="283"/>
    </row>
    <row r="6" spans="1:9">
      <c r="A6" s="21"/>
      <c r="B6" s="29"/>
      <c r="C6" s="29"/>
      <c r="D6" s="26"/>
      <c r="E6" s="7">
        <f t="shared" ref="E6:E20" si="0">(B6*D6)</f>
        <v>0</v>
      </c>
      <c r="F6" s="7">
        <f t="shared" ref="F6:F20" si="1">(C6*D6)</f>
        <v>0</v>
      </c>
      <c r="G6" s="7">
        <f t="shared" ref="G6:G20" si="2">(E6+F6)</f>
        <v>0</v>
      </c>
      <c r="H6" s="283"/>
    </row>
    <row r="7" spans="1:9">
      <c r="A7" s="21"/>
      <c r="B7" s="29"/>
      <c r="C7" s="29"/>
      <c r="D7" s="26"/>
      <c r="E7" s="7">
        <f t="shared" si="0"/>
        <v>0</v>
      </c>
      <c r="F7" s="7">
        <f t="shared" si="1"/>
        <v>0</v>
      </c>
      <c r="G7" s="7">
        <f t="shared" si="2"/>
        <v>0</v>
      </c>
      <c r="H7" s="283"/>
    </row>
    <row r="8" spans="1:9">
      <c r="A8" s="21"/>
      <c r="B8" s="29"/>
      <c r="C8" s="29"/>
      <c r="D8" s="26"/>
      <c r="E8" s="7">
        <f t="shared" si="0"/>
        <v>0</v>
      </c>
      <c r="F8" s="7">
        <f t="shared" si="1"/>
        <v>0</v>
      </c>
      <c r="G8" s="7">
        <f t="shared" si="2"/>
        <v>0</v>
      </c>
      <c r="H8" s="283"/>
    </row>
    <row r="9" spans="1:9">
      <c r="A9" s="21"/>
      <c r="B9" s="29"/>
      <c r="C9" s="29"/>
      <c r="D9" s="26"/>
      <c r="E9" s="7">
        <f t="shared" si="0"/>
        <v>0</v>
      </c>
      <c r="F9" s="7">
        <f t="shared" si="1"/>
        <v>0</v>
      </c>
      <c r="G9" s="7">
        <f t="shared" si="2"/>
        <v>0</v>
      </c>
      <c r="H9" s="283"/>
    </row>
    <row r="10" spans="1:9">
      <c r="A10" s="21"/>
      <c r="B10" s="29"/>
      <c r="C10" s="29"/>
      <c r="D10" s="26"/>
      <c r="E10" s="7">
        <f t="shared" si="0"/>
        <v>0</v>
      </c>
      <c r="F10" s="7">
        <f t="shared" si="1"/>
        <v>0</v>
      </c>
      <c r="G10" s="7">
        <f t="shared" si="2"/>
        <v>0</v>
      </c>
      <c r="H10" s="283"/>
    </row>
    <row r="11" spans="1:9">
      <c r="A11" s="21"/>
      <c r="B11" s="29"/>
      <c r="C11" s="29"/>
      <c r="D11" s="26"/>
      <c r="E11" s="7">
        <f t="shared" si="0"/>
        <v>0</v>
      </c>
      <c r="F11" s="7">
        <f t="shared" si="1"/>
        <v>0</v>
      </c>
      <c r="G11" s="7">
        <f t="shared" si="2"/>
        <v>0</v>
      </c>
      <c r="H11" s="283"/>
    </row>
    <row r="12" spans="1:9">
      <c r="A12" s="21"/>
      <c r="B12" s="29"/>
      <c r="C12" s="29"/>
      <c r="D12" s="26"/>
      <c r="E12" s="7">
        <f t="shared" si="0"/>
        <v>0</v>
      </c>
      <c r="F12" s="7">
        <f t="shared" si="1"/>
        <v>0</v>
      </c>
      <c r="G12" s="7">
        <f t="shared" si="2"/>
        <v>0</v>
      </c>
      <c r="H12" s="283"/>
    </row>
    <row r="13" spans="1:9">
      <c r="A13" s="21"/>
      <c r="B13" s="29"/>
      <c r="C13" s="29"/>
      <c r="D13" s="25"/>
      <c r="E13" s="7">
        <f t="shared" si="0"/>
        <v>0</v>
      </c>
      <c r="F13" s="7">
        <f t="shared" si="1"/>
        <v>0</v>
      </c>
      <c r="G13" s="7">
        <f t="shared" si="2"/>
        <v>0</v>
      </c>
      <c r="H13" s="283"/>
    </row>
    <row r="14" spans="1:9">
      <c r="A14" s="21"/>
      <c r="B14" s="29"/>
      <c r="C14" s="29"/>
      <c r="D14" s="25"/>
      <c r="E14" s="7">
        <f t="shared" si="0"/>
        <v>0</v>
      </c>
      <c r="F14" s="7">
        <f t="shared" si="1"/>
        <v>0</v>
      </c>
      <c r="G14" s="7">
        <f t="shared" si="2"/>
        <v>0</v>
      </c>
      <c r="H14" s="283"/>
    </row>
    <row r="15" spans="1:9">
      <c r="A15" s="21"/>
      <c r="B15" s="29"/>
      <c r="C15" s="29"/>
      <c r="D15" s="25"/>
      <c r="E15" s="7">
        <f t="shared" si="0"/>
        <v>0</v>
      </c>
      <c r="F15" s="7">
        <f t="shared" si="1"/>
        <v>0</v>
      </c>
      <c r="G15" s="7">
        <f t="shared" si="2"/>
        <v>0</v>
      </c>
      <c r="H15" s="283"/>
    </row>
    <row r="16" spans="1:9">
      <c r="A16" s="21"/>
      <c r="B16" s="29"/>
      <c r="C16" s="29"/>
      <c r="D16" s="25"/>
      <c r="E16" s="7">
        <f t="shared" si="0"/>
        <v>0</v>
      </c>
      <c r="F16" s="7">
        <f t="shared" si="1"/>
        <v>0</v>
      </c>
      <c r="G16" s="7">
        <f t="shared" si="2"/>
        <v>0</v>
      </c>
      <c r="H16" s="283"/>
    </row>
    <row r="17" spans="1:8">
      <c r="A17" s="21"/>
      <c r="B17" s="29"/>
      <c r="C17" s="29"/>
      <c r="D17" s="25"/>
      <c r="E17" s="7">
        <f t="shared" si="0"/>
        <v>0</v>
      </c>
      <c r="F17" s="7">
        <f t="shared" si="1"/>
        <v>0</v>
      </c>
      <c r="G17" s="7">
        <f t="shared" si="2"/>
        <v>0</v>
      </c>
      <c r="H17" s="283"/>
    </row>
    <row r="18" spans="1:8">
      <c r="A18" s="21"/>
      <c r="B18" s="29"/>
      <c r="C18" s="29"/>
      <c r="D18" s="25"/>
      <c r="E18" s="7">
        <f t="shared" si="0"/>
        <v>0</v>
      </c>
      <c r="F18" s="7">
        <f t="shared" si="1"/>
        <v>0</v>
      </c>
      <c r="G18" s="7">
        <f t="shared" si="2"/>
        <v>0</v>
      </c>
      <c r="H18" s="283"/>
    </row>
    <row r="19" spans="1:8">
      <c r="A19" s="21"/>
      <c r="B19" s="29"/>
      <c r="C19" s="29"/>
      <c r="D19" s="25"/>
      <c r="E19" s="7">
        <f t="shared" si="0"/>
        <v>0</v>
      </c>
      <c r="F19" s="7">
        <f t="shared" si="1"/>
        <v>0</v>
      </c>
      <c r="G19" s="7">
        <f t="shared" si="2"/>
        <v>0</v>
      </c>
      <c r="H19" s="283"/>
    </row>
    <row r="20" spans="1:8">
      <c r="A20" s="21"/>
      <c r="B20" s="29"/>
      <c r="C20" s="29"/>
      <c r="D20" s="25"/>
      <c r="E20" s="7">
        <f t="shared" si="0"/>
        <v>0</v>
      </c>
      <c r="F20" s="7">
        <f t="shared" si="1"/>
        <v>0</v>
      </c>
      <c r="G20" s="7">
        <f t="shared" si="2"/>
        <v>0</v>
      </c>
      <c r="H20" s="283"/>
    </row>
    <row r="21" spans="1:8">
      <c r="A21" s="77"/>
      <c r="B21" s="29"/>
      <c r="C21" s="29"/>
      <c r="D21" s="78"/>
      <c r="E21" s="7">
        <f>(B21*D21)</f>
        <v>0</v>
      </c>
      <c r="F21" s="7">
        <f>(C21*D21)</f>
        <v>0</v>
      </c>
      <c r="G21" s="7">
        <f>(E21+F21)</f>
        <v>0</v>
      </c>
      <c r="H21" s="283"/>
    </row>
    <row r="22" spans="1:8">
      <c r="A22" s="77"/>
      <c r="B22" s="29"/>
      <c r="C22" s="29"/>
      <c r="D22" s="78"/>
      <c r="E22" s="7">
        <f>(B22*D22)</f>
        <v>0</v>
      </c>
      <c r="F22" s="7">
        <f>(C22*D22)</f>
        <v>0</v>
      </c>
      <c r="G22" s="7">
        <f>(E22+F22)</f>
        <v>0</v>
      </c>
      <c r="H22" s="283"/>
    </row>
    <row r="23" spans="1:8">
      <c r="A23" s="77"/>
      <c r="B23" s="29"/>
      <c r="C23" s="29"/>
      <c r="D23" s="78"/>
      <c r="E23" s="7">
        <f>(B23*D23)</f>
        <v>0</v>
      </c>
      <c r="F23" s="7">
        <f>(C23*D23)</f>
        <v>0</v>
      </c>
      <c r="G23" s="7">
        <f>(E23+F23)</f>
        <v>0</v>
      </c>
      <c r="H23" s="283"/>
    </row>
    <row r="24" spans="1:8">
      <c r="A24" s="77"/>
      <c r="B24" s="29"/>
      <c r="C24" s="29"/>
      <c r="D24" s="78"/>
      <c r="E24" s="7">
        <f>(B24*D24)</f>
        <v>0</v>
      </c>
      <c r="F24" s="7">
        <f>(C24*D24)</f>
        <v>0</v>
      </c>
      <c r="G24" s="7">
        <f>(E24+F24)</f>
        <v>0</v>
      </c>
      <c r="H24" s="283"/>
    </row>
    <row r="25" spans="1:8">
      <c r="A25" s="77"/>
      <c r="B25" s="29"/>
      <c r="C25" s="29"/>
      <c r="D25" s="78"/>
      <c r="E25" s="7">
        <f>(B25*D25)</f>
        <v>0</v>
      </c>
      <c r="F25" s="7">
        <f>(C25*D25)</f>
        <v>0</v>
      </c>
      <c r="G25" s="7">
        <f>(E25+F25)</f>
        <v>0</v>
      </c>
      <c r="H25" s="283"/>
    </row>
    <row r="26" spans="1:8">
      <c r="A26" s="242"/>
      <c r="B26" s="242"/>
      <c r="C26" s="242"/>
      <c r="D26" s="242"/>
      <c r="E26" s="242"/>
      <c r="F26" s="242"/>
      <c r="G26" s="242"/>
      <c r="H26" s="283"/>
    </row>
    <row r="27" spans="1:8" ht="15">
      <c r="A27" s="291" t="s">
        <v>121</v>
      </c>
      <c r="B27" s="292"/>
      <c r="C27" s="292"/>
      <c r="D27" s="293"/>
      <c r="E27" s="33">
        <f>SUM(E6:E25)</f>
        <v>0</v>
      </c>
      <c r="F27" s="33">
        <f>SUM(F6:F25)</f>
        <v>0</v>
      </c>
      <c r="G27" s="33">
        <f>(E27+F27)</f>
        <v>0</v>
      </c>
      <c r="H27" s="283"/>
    </row>
    <row r="28" spans="1:8" ht="15">
      <c r="A28" s="291" t="s">
        <v>122</v>
      </c>
      <c r="B28" s="292"/>
      <c r="C28" s="292"/>
      <c r="D28" s="293"/>
      <c r="E28" s="33">
        <f>E4</f>
        <v>0</v>
      </c>
      <c r="F28" s="33">
        <f>F4</f>
        <v>0</v>
      </c>
      <c r="G28" s="33">
        <f>E28+F28</f>
        <v>0</v>
      </c>
      <c r="H28" s="283"/>
    </row>
    <row r="29" spans="1:8" ht="15" customHeight="1">
      <c r="A29" s="294" t="s">
        <v>123</v>
      </c>
      <c r="B29" s="295"/>
      <c r="C29" s="295"/>
      <c r="D29" s="296"/>
      <c r="E29" s="46">
        <f>E27+E28</f>
        <v>0</v>
      </c>
      <c r="F29" s="46">
        <f>F27+F28</f>
        <v>0</v>
      </c>
      <c r="G29" s="46">
        <f>G27+G28</f>
        <v>0</v>
      </c>
      <c r="H29" s="283"/>
    </row>
    <row r="30" spans="1:8" ht="32.25" customHeight="1">
      <c r="A30" s="287" t="s">
        <v>124</v>
      </c>
      <c r="B30" s="288"/>
      <c r="C30" s="289"/>
      <c r="D30" s="117"/>
      <c r="E30" s="285"/>
      <c r="F30" s="286"/>
      <c r="G30" s="44">
        <f>(D30*D4)</f>
        <v>0</v>
      </c>
      <c r="H30" s="283"/>
    </row>
    <row r="31" spans="1:8" ht="11.25" customHeight="1">
      <c r="A31" s="248"/>
      <c r="B31" s="248"/>
      <c r="C31" s="248"/>
      <c r="D31" s="248"/>
      <c r="E31" s="248"/>
      <c r="F31" s="248"/>
      <c r="G31" s="248"/>
      <c r="H31" s="284"/>
    </row>
  </sheetData>
  <mergeCells count="18">
    <mergeCell ref="A27:D27"/>
    <mergeCell ref="A28:D28"/>
    <mergeCell ref="H1:H31"/>
    <mergeCell ref="A31:G31"/>
    <mergeCell ref="I1:I2"/>
    <mergeCell ref="A30:C30"/>
    <mergeCell ref="A1:G1"/>
    <mergeCell ref="A2:A3"/>
    <mergeCell ref="B2:B3"/>
    <mergeCell ref="C2:C3"/>
    <mergeCell ref="D2:D3"/>
    <mergeCell ref="E2:E3"/>
    <mergeCell ref="F2:F3"/>
    <mergeCell ref="G2:G3"/>
    <mergeCell ref="A5:G5"/>
    <mergeCell ref="E30:F30"/>
    <mergeCell ref="A29:D29"/>
    <mergeCell ref="A26:G26"/>
  </mergeCells>
  <phoneticPr fontId="7" type="noConversion"/>
  <printOptions verticalCentered="1" gridLines="1"/>
  <pageMargins left="0" right="0" top="0" bottom="0" header="0" footer="0"/>
  <pageSetup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-0.249977111117893"/>
  </sheetPr>
  <dimension ref="A1:I31"/>
  <sheetViews>
    <sheetView workbookViewId="0">
      <pane ySplit="4" topLeftCell="A5" activePane="bottomLeft" state="frozen"/>
      <selection pane="bottomLeft" activeCell="B3" sqref="B3"/>
    </sheetView>
  </sheetViews>
  <sheetFormatPr defaultRowHeight="12.75"/>
  <cols>
    <col min="1" max="1" width="27.140625" customWidth="1"/>
    <col min="2" max="2" width="10.7109375" customWidth="1"/>
    <col min="3" max="3" width="11.85546875" customWidth="1"/>
    <col min="4" max="4" width="10.140625" customWidth="1"/>
    <col min="5" max="5" width="15" customWidth="1"/>
    <col min="6" max="6" width="12.42578125" customWidth="1"/>
    <col min="7" max="7" width="13.140625" customWidth="1"/>
    <col min="8" max="8" width="2.28515625" customWidth="1"/>
    <col min="9" max="9" width="21.7109375" customWidth="1"/>
  </cols>
  <sheetData>
    <row r="1" spans="1:9" ht="32.25" customHeight="1">
      <c r="A1" s="312" t="s">
        <v>135</v>
      </c>
      <c r="B1" s="312"/>
      <c r="C1" s="312"/>
      <c r="D1" s="312"/>
      <c r="E1" s="312"/>
      <c r="F1" s="312"/>
      <c r="G1" s="313"/>
      <c r="H1" s="282"/>
      <c r="I1" s="90" t="s">
        <v>3</v>
      </c>
    </row>
    <row r="2" spans="1:9" ht="35.25" customHeight="1">
      <c r="A2" s="106" t="s">
        <v>114</v>
      </c>
      <c r="B2" s="92" t="s">
        <v>115</v>
      </c>
      <c r="C2" s="92" t="s">
        <v>116</v>
      </c>
      <c r="D2" s="93" t="s">
        <v>136</v>
      </c>
      <c r="E2" s="92" t="s">
        <v>117</v>
      </c>
      <c r="F2" s="92" t="s">
        <v>118</v>
      </c>
      <c r="G2" s="93" t="s">
        <v>119</v>
      </c>
      <c r="H2" s="283"/>
      <c r="I2" s="89" t="s">
        <v>57</v>
      </c>
    </row>
    <row r="3" spans="1:9" ht="15" customHeight="1">
      <c r="A3" s="112" t="s">
        <v>137</v>
      </c>
      <c r="B3" s="46">
        <f>MACH1718!C142</f>
        <v>25.400400000000001</v>
      </c>
      <c r="C3" s="46">
        <f>MACH1718!D142</f>
        <v>5.3045999999999998</v>
      </c>
      <c r="D3" s="79">
        <f>SUM(D5:D25)</f>
        <v>0</v>
      </c>
      <c r="E3" s="46">
        <f>(B3*D3)</f>
        <v>0</v>
      </c>
      <c r="F3" s="46">
        <f>(C3*D3)</f>
        <v>0</v>
      </c>
      <c r="G3" s="73">
        <f>(E3+F3)</f>
        <v>0</v>
      </c>
      <c r="H3" s="283"/>
      <c r="I3" s="89"/>
    </row>
    <row r="4" spans="1:9" ht="12" customHeight="1">
      <c r="A4" s="275"/>
      <c r="B4" s="275"/>
      <c r="C4" s="275"/>
      <c r="D4" s="275"/>
      <c r="E4" s="275"/>
      <c r="F4" s="275"/>
      <c r="G4" s="275"/>
      <c r="H4" s="283"/>
    </row>
    <row r="5" spans="1:9">
      <c r="A5" s="21"/>
      <c r="B5" s="29"/>
      <c r="C5" s="29"/>
      <c r="D5" s="26"/>
      <c r="E5" s="7">
        <f t="shared" ref="E5:E19" si="0">(B5*D5)</f>
        <v>0</v>
      </c>
      <c r="F5" s="7">
        <f t="shared" ref="F5:F19" si="1">(C5*D5)</f>
        <v>0</v>
      </c>
      <c r="G5" s="72">
        <f t="shared" ref="G5:G19" si="2">(E5+F5)</f>
        <v>0</v>
      </c>
      <c r="H5" s="283"/>
    </row>
    <row r="6" spans="1:9">
      <c r="A6" s="21"/>
      <c r="B6" s="29"/>
      <c r="C6" s="29"/>
      <c r="D6" s="26"/>
      <c r="E6" s="7">
        <f t="shared" si="0"/>
        <v>0</v>
      </c>
      <c r="F6" s="7">
        <f t="shared" si="1"/>
        <v>0</v>
      </c>
      <c r="G6" s="72">
        <f t="shared" si="2"/>
        <v>0</v>
      </c>
      <c r="H6" s="283"/>
    </row>
    <row r="7" spans="1:9">
      <c r="A7" s="21"/>
      <c r="B7" s="29"/>
      <c r="C7" s="29"/>
      <c r="D7" s="26"/>
      <c r="E7" s="7">
        <f t="shared" si="0"/>
        <v>0</v>
      </c>
      <c r="F7" s="7">
        <f t="shared" si="1"/>
        <v>0</v>
      </c>
      <c r="G7" s="72">
        <f t="shared" si="2"/>
        <v>0</v>
      </c>
      <c r="H7" s="283"/>
    </row>
    <row r="8" spans="1:9">
      <c r="A8" s="21"/>
      <c r="B8" s="29"/>
      <c r="C8" s="29"/>
      <c r="D8" s="26"/>
      <c r="E8" s="7">
        <f t="shared" si="0"/>
        <v>0</v>
      </c>
      <c r="F8" s="7">
        <f t="shared" si="1"/>
        <v>0</v>
      </c>
      <c r="G8" s="72">
        <f t="shared" si="2"/>
        <v>0</v>
      </c>
      <c r="H8" s="283"/>
    </row>
    <row r="9" spans="1:9">
      <c r="A9" s="21"/>
      <c r="B9" s="29"/>
      <c r="C9" s="29"/>
      <c r="D9" s="26"/>
      <c r="E9" s="7">
        <f t="shared" si="0"/>
        <v>0</v>
      </c>
      <c r="F9" s="7">
        <f t="shared" si="1"/>
        <v>0</v>
      </c>
      <c r="G9" s="72">
        <f t="shared" si="2"/>
        <v>0</v>
      </c>
      <c r="H9" s="283"/>
    </row>
    <row r="10" spans="1:9">
      <c r="A10" s="21"/>
      <c r="B10" s="29"/>
      <c r="C10" s="29"/>
      <c r="D10" s="26"/>
      <c r="E10" s="7">
        <f t="shared" si="0"/>
        <v>0</v>
      </c>
      <c r="F10" s="7">
        <f t="shared" si="1"/>
        <v>0</v>
      </c>
      <c r="G10" s="72">
        <f t="shared" si="2"/>
        <v>0</v>
      </c>
      <c r="H10" s="283"/>
    </row>
    <row r="11" spans="1:9">
      <c r="A11" s="21"/>
      <c r="B11" s="29"/>
      <c r="C11" s="29"/>
      <c r="D11" s="26"/>
      <c r="E11" s="7">
        <f t="shared" si="0"/>
        <v>0</v>
      </c>
      <c r="F11" s="7">
        <f t="shared" si="1"/>
        <v>0</v>
      </c>
      <c r="G11" s="72">
        <f t="shared" si="2"/>
        <v>0</v>
      </c>
      <c r="H11" s="283"/>
    </row>
    <row r="12" spans="1:9">
      <c r="A12" s="21"/>
      <c r="B12" s="29"/>
      <c r="C12" s="29"/>
      <c r="D12" s="25"/>
      <c r="E12" s="7">
        <f t="shared" si="0"/>
        <v>0</v>
      </c>
      <c r="F12" s="7">
        <f t="shared" si="1"/>
        <v>0</v>
      </c>
      <c r="G12" s="72">
        <f t="shared" si="2"/>
        <v>0</v>
      </c>
      <c r="H12" s="283"/>
    </row>
    <row r="13" spans="1:9">
      <c r="A13" s="21"/>
      <c r="B13" s="29"/>
      <c r="C13" s="29"/>
      <c r="D13" s="25"/>
      <c r="E13" s="7">
        <f t="shared" si="0"/>
        <v>0</v>
      </c>
      <c r="F13" s="7">
        <f t="shared" si="1"/>
        <v>0</v>
      </c>
      <c r="G13" s="72">
        <f t="shared" si="2"/>
        <v>0</v>
      </c>
      <c r="H13" s="283"/>
    </row>
    <row r="14" spans="1:9">
      <c r="A14" s="21"/>
      <c r="B14" s="29"/>
      <c r="C14" s="29"/>
      <c r="D14" s="25"/>
      <c r="E14" s="7">
        <f t="shared" si="0"/>
        <v>0</v>
      </c>
      <c r="F14" s="7">
        <f t="shared" si="1"/>
        <v>0</v>
      </c>
      <c r="G14" s="72">
        <f t="shared" si="2"/>
        <v>0</v>
      </c>
      <c r="H14" s="283"/>
    </row>
    <row r="15" spans="1:9">
      <c r="A15" s="21"/>
      <c r="B15" s="29"/>
      <c r="C15" s="29"/>
      <c r="D15" s="25"/>
      <c r="E15" s="7">
        <f t="shared" si="0"/>
        <v>0</v>
      </c>
      <c r="F15" s="7">
        <f t="shared" si="1"/>
        <v>0</v>
      </c>
      <c r="G15" s="72">
        <f t="shared" si="2"/>
        <v>0</v>
      </c>
      <c r="H15" s="283"/>
    </row>
    <row r="16" spans="1:9">
      <c r="A16" s="21"/>
      <c r="B16" s="29"/>
      <c r="C16" s="29"/>
      <c r="D16" s="25"/>
      <c r="E16" s="7">
        <f t="shared" si="0"/>
        <v>0</v>
      </c>
      <c r="F16" s="7">
        <f t="shared" si="1"/>
        <v>0</v>
      </c>
      <c r="G16" s="72">
        <f t="shared" si="2"/>
        <v>0</v>
      </c>
      <c r="H16" s="283"/>
    </row>
    <row r="17" spans="1:8">
      <c r="A17" s="21"/>
      <c r="B17" s="29"/>
      <c r="C17" s="29"/>
      <c r="D17" s="25"/>
      <c r="E17" s="7">
        <f t="shared" si="0"/>
        <v>0</v>
      </c>
      <c r="F17" s="7">
        <f t="shared" si="1"/>
        <v>0</v>
      </c>
      <c r="G17" s="72">
        <f t="shared" si="2"/>
        <v>0</v>
      </c>
      <c r="H17" s="283"/>
    </row>
    <row r="18" spans="1:8">
      <c r="A18" s="21"/>
      <c r="B18" s="29"/>
      <c r="C18" s="29"/>
      <c r="D18" s="25"/>
      <c r="E18" s="7">
        <f t="shared" si="0"/>
        <v>0</v>
      </c>
      <c r="F18" s="7">
        <f t="shared" si="1"/>
        <v>0</v>
      </c>
      <c r="G18" s="72">
        <f t="shared" si="2"/>
        <v>0</v>
      </c>
      <c r="H18" s="283"/>
    </row>
    <row r="19" spans="1:8">
      <c r="A19" s="21"/>
      <c r="B19" s="29"/>
      <c r="C19" s="29"/>
      <c r="D19" s="25"/>
      <c r="E19" s="7">
        <f t="shared" si="0"/>
        <v>0</v>
      </c>
      <c r="F19" s="7">
        <f t="shared" si="1"/>
        <v>0</v>
      </c>
      <c r="G19" s="72">
        <f t="shared" si="2"/>
        <v>0</v>
      </c>
      <c r="H19" s="283"/>
    </row>
    <row r="20" spans="1:8">
      <c r="A20" s="77"/>
      <c r="B20" s="29"/>
      <c r="C20" s="29"/>
      <c r="D20" s="78"/>
      <c r="E20" s="7">
        <f t="shared" ref="E20:E25" si="3">(B20*D20)</f>
        <v>0</v>
      </c>
      <c r="F20" s="7">
        <f t="shared" ref="F20:F25" si="4">(C20*D20)</f>
        <v>0</v>
      </c>
      <c r="G20" s="72">
        <f t="shared" ref="G20:G25" si="5">(E20+F20)</f>
        <v>0</v>
      </c>
      <c r="H20" s="283"/>
    </row>
    <row r="21" spans="1:8">
      <c r="A21" s="77"/>
      <c r="B21" s="29"/>
      <c r="C21" s="29"/>
      <c r="D21" s="78"/>
      <c r="E21" s="7">
        <f t="shared" si="3"/>
        <v>0</v>
      </c>
      <c r="F21" s="7">
        <f t="shared" si="4"/>
        <v>0</v>
      </c>
      <c r="G21" s="72">
        <f t="shared" si="5"/>
        <v>0</v>
      </c>
      <c r="H21" s="283"/>
    </row>
    <row r="22" spans="1:8">
      <c r="A22" s="77"/>
      <c r="B22" s="29"/>
      <c r="C22" s="29"/>
      <c r="D22" s="78"/>
      <c r="E22" s="7">
        <f t="shared" si="3"/>
        <v>0</v>
      </c>
      <c r="F22" s="7">
        <f t="shared" si="4"/>
        <v>0</v>
      </c>
      <c r="G22" s="72">
        <f t="shared" si="5"/>
        <v>0</v>
      </c>
      <c r="H22" s="283"/>
    </row>
    <row r="23" spans="1:8">
      <c r="A23" s="77"/>
      <c r="B23" s="29"/>
      <c r="C23" s="29"/>
      <c r="D23" s="78"/>
      <c r="E23" s="7">
        <f t="shared" si="3"/>
        <v>0</v>
      </c>
      <c r="F23" s="7">
        <f t="shared" si="4"/>
        <v>0</v>
      </c>
      <c r="G23" s="72">
        <f t="shared" si="5"/>
        <v>0</v>
      </c>
      <c r="H23" s="283"/>
    </row>
    <row r="24" spans="1:8">
      <c r="A24" s="77"/>
      <c r="B24" s="29"/>
      <c r="C24" s="29"/>
      <c r="D24" s="78"/>
      <c r="E24" s="7">
        <f t="shared" si="3"/>
        <v>0</v>
      </c>
      <c r="F24" s="7">
        <f t="shared" si="4"/>
        <v>0</v>
      </c>
      <c r="G24" s="72">
        <f t="shared" si="5"/>
        <v>0</v>
      </c>
      <c r="H24" s="283"/>
    </row>
    <row r="25" spans="1:8">
      <c r="A25" s="77"/>
      <c r="B25" s="29"/>
      <c r="C25" s="29"/>
      <c r="D25" s="78"/>
      <c r="E25" s="7">
        <f t="shared" si="3"/>
        <v>0</v>
      </c>
      <c r="F25" s="7">
        <f t="shared" si="4"/>
        <v>0</v>
      </c>
      <c r="G25" s="72">
        <f t="shared" si="5"/>
        <v>0</v>
      </c>
      <c r="H25" s="283"/>
    </row>
    <row r="26" spans="1:8" ht="11.25" customHeight="1">
      <c r="A26" s="242"/>
      <c r="B26" s="242"/>
      <c r="C26" s="242"/>
      <c r="D26" s="242"/>
      <c r="E26" s="242"/>
      <c r="F26" s="242"/>
      <c r="G26" s="242"/>
      <c r="H26" s="283"/>
    </row>
    <row r="27" spans="1:8" ht="15">
      <c r="A27" s="291" t="s">
        <v>121</v>
      </c>
      <c r="B27" s="292"/>
      <c r="C27" s="292"/>
      <c r="D27" s="293"/>
      <c r="E27" s="33">
        <f>SUM(E5:E25)</f>
        <v>0</v>
      </c>
      <c r="F27" s="33">
        <f>SUM(F5:F25)</f>
        <v>0</v>
      </c>
      <c r="G27" s="74">
        <f>(E27+F27)</f>
        <v>0</v>
      </c>
      <c r="H27" s="283"/>
    </row>
    <row r="28" spans="1:8" ht="15">
      <c r="A28" s="291" t="s">
        <v>122</v>
      </c>
      <c r="B28" s="292"/>
      <c r="C28" s="292"/>
      <c r="D28" s="293"/>
      <c r="E28" s="33">
        <f>E3</f>
        <v>0</v>
      </c>
      <c r="F28" s="33">
        <f>F3</f>
        <v>0</v>
      </c>
      <c r="G28" s="74">
        <f>E28+F28</f>
        <v>0</v>
      </c>
      <c r="H28" s="283"/>
    </row>
    <row r="29" spans="1:8" ht="15" customHeight="1">
      <c r="A29" s="294" t="s">
        <v>123</v>
      </c>
      <c r="B29" s="295"/>
      <c r="C29" s="295"/>
      <c r="D29" s="296"/>
      <c r="E29" s="46">
        <f>E27+E28</f>
        <v>0</v>
      </c>
      <c r="F29" s="46">
        <f>F27+F28</f>
        <v>0</v>
      </c>
      <c r="G29" s="73">
        <f>G27+G28</f>
        <v>0</v>
      </c>
      <c r="H29" s="283"/>
    </row>
    <row r="30" spans="1:8" ht="33.75" customHeight="1">
      <c r="A30" s="287" t="s">
        <v>124</v>
      </c>
      <c r="B30" s="288"/>
      <c r="C30" s="289"/>
      <c r="D30" s="117"/>
      <c r="E30" s="300"/>
      <c r="F30" s="301"/>
      <c r="G30" s="73">
        <f>(D30*D3)</f>
        <v>0</v>
      </c>
      <c r="H30" s="283"/>
    </row>
    <row r="31" spans="1:8" ht="9.75" customHeight="1">
      <c r="A31" s="248"/>
      <c r="B31" s="248"/>
      <c r="C31" s="248"/>
      <c r="D31" s="248"/>
      <c r="E31" s="248"/>
      <c r="F31" s="248"/>
      <c r="G31" s="248"/>
      <c r="H31" s="284"/>
    </row>
  </sheetData>
  <mergeCells count="10">
    <mergeCell ref="H1:H31"/>
    <mergeCell ref="A31:G31"/>
    <mergeCell ref="E30:F30"/>
    <mergeCell ref="A1:G1"/>
    <mergeCell ref="A27:D27"/>
    <mergeCell ref="A28:D28"/>
    <mergeCell ref="A29:D29"/>
    <mergeCell ref="A30:C30"/>
    <mergeCell ref="A26:G26"/>
    <mergeCell ref="A4:G4"/>
  </mergeCells>
  <phoneticPr fontId="7" type="noConversion"/>
  <printOptions verticalCentered="1" gridLines="1"/>
  <pageMargins left="0" right="0" top="0" bottom="0" header="0" footer="0"/>
  <pageSetup orientation="landscape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-0.249977111117893"/>
  </sheetPr>
  <dimension ref="A1:I31"/>
  <sheetViews>
    <sheetView workbookViewId="0">
      <pane ySplit="5" topLeftCell="A6" activePane="bottomLeft" state="frozen"/>
      <selection pane="bottomLeft" activeCell="I14" sqref="I6:I14"/>
    </sheetView>
  </sheetViews>
  <sheetFormatPr defaultRowHeight="12.75"/>
  <cols>
    <col min="1" max="1" width="29.7109375" customWidth="1"/>
    <col min="2" max="2" width="10" customWidth="1"/>
    <col min="4" max="4" width="10.7109375" customWidth="1"/>
    <col min="5" max="5" width="16.42578125" customWidth="1"/>
    <col min="6" max="6" width="12.5703125" customWidth="1"/>
    <col min="7" max="7" width="12.85546875" customWidth="1"/>
    <col min="8" max="8" width="2.5703125" customWidth="1"/>
    <col min="9" max="9" width="24.7109375" customWidth="1"/>
    <col min="10" max="10" width="2.140625" customWidth="1"/>
    <col min="11" max="11" width="1.42578125" customWidth="1"/>
    <col min="12" max="12" width="0.42578125" customWidth="1"/>
  </cols>
  <sheetData>
    <row r="1" spans="1:9" ht="35.25" customHeight="1">
      <c r="A1" s="312" t="s">
        <v>138</v>
      </c>
      <c r="B1" s="319"/>
      <c r="C1" s="319"/>
      <c r="D1" s="319"/>
      <c r="E1" s="319"/>
      <c r="F1" s="319"/>
      <c r="G1" s="319"/>
      <c r="H1" s="283"/>
      <c r="I1" s="90" t="s">
        <v>3</v>
      </c>
    </row>
    <row r="2" spans="1:9" ht="12.75" customHeight="1">
      <c r="A2" s="298" t="s">
        <v>114</v>
      </c>
      <c r="B2" s="276" t="s">
        <v>126</v>
      </c>
      <c r="C2" s="276" t="s">
        <v>127</v>
      </c>
      <c r="D2" s="276" t="s">
        <v>86</v>
      </c>
      <c r="E2" s="276" t="s">
        <v>117</v>
      </c>
      <c r="F2" s="276" t="s">
        <v>118</v>
      </c>
      <c r="G2" s="276" t="s">
        <v>119</v>
      </c>
      <c r="H2" s="283"/>
      <c r="I2" s="290" t="s">
        <v>57</v>
      </c>
    </row>
    <row r="3" spans="1:9" ht="24.75" customHeight="1">
      <c r="A3" s="299"/>
      <c r="B3" s="277"/>
      <c r="C3" s="281"/>
      <c r="D3" s="281"/>
      <c r="E3" s="277"/>
      <c r="F3" s="277"/>
      <c r="G3" s="277"/>
      <c r="H3" s="283"/>
      <c r="I3" s="290"/>
    </row>
    <row r="4" spans="1:9" ht="18.75" customHeight="1">
      <c r="A4" s="111" t="s">
        <v>139</v>
      </c>
      <c r="B4" s="46">
        <f>MACH1718!C145</f>
        <v>32.085999999999999</v>
      </c>
      <c r="C4" s="46">
        <f>MACH1718!D145</f>
        <v>7.2198000000000002</v>
      </c>
      <c r="D4" s="79">
        <f>SUM(D6:D25)</f>
        <v>11.059999999999999</v>
      </c>
      <c r="E4" s="46">
        <f>(B4*D4)</f>
        <v>354.87115999999992</v>
      </c>
      <c r="F4" s="46">
        <f>(C4*D4)</f>
        <v>79.850987999999987</v>
      </c>
      <c r="G4" s="46">
        <f>E4+F4</f>
        <v>434.72214799999989</v>
      </c>
      <c r="H4" s="283"/>
      <c r="I4" s="91"/>
    </row>
    <row r="5" spans="1:9" ht="15">
      <c r="A5" s="275"/>
      <c r="B5" s="275"/>
      <c r="C5" s="275"/>
      <c r="D5" s="275"/>
      <c r="E5" s="275"/>
      <c r="F5" s="275"/>
      <c r="G5" s="275"/>
      <c r="H5" s="283"/>
    </row>
    <row r="6" spans="1:9">
      <c r="A6" s="77" t="s">
        <v>140</v>
      </c>
      <c r="B6" s="29">
        <f>MACH1718!C105</f>
        <v>4.5262000000000002</v>
      </c>
      <c r="C6" s="29">
        <f>MACH1718!D105</f>
        <v>2.5829999999999997</v>
      </c>
      <c r="D6" s="32">
        <v>1.52</v>
      </c>
      <c r="E6" s="7">
        <f t="shared" ref="E6:E22" si="0">(B6*D6)</f>
        <v>6.8798240000000002</v>
      </c>
      <c r="F6" s="7">
        <f t="shared" ref="F6:F22" si="1">(C6*D6)</f>
        <v>3.9261599999999999</v>
      </c>
      <c r="G6" s="7">
        <f t="shared" ref="G6:G22" si="2">(E6+F6)</f>
        <v>10.805984</v>
      </c>
      <c r="H6" s="283"/>
    </row>
    <row r="7" spans="1:9">
      <c r="A7" s="77" t="s">
        <v>141</v>
      </c>
      <c r="B7" s="29">
        <f>MACH1718!C129</f>
        <v>3.5867999999999998</v>
      </c>
      <c r="C7" s="29">
        <f>MACH1718!D129</f>
        <v>5.0778000000000008</v>
      </c>
      <c r="D7" s="32">
        <v>1.33</v>
      </c>
      <c r="E7" s="7">
        <f t="shared" si="0"/>
        <v>4.7704440000000004</v>
      </c>
      <c r="F7" s="7">
        <f t="shared" si="1"/>
        <v>6.7534740000000015</v>
      </c>
      <c r="G7" s="7">
        <f t="shared" si="2"/>
        <v>11.523918000000002</v>
      </c>
      <c r="H7" s="283"/>
    </row>
    <row r="8" spans="1:9">
      <c r="A8" s="77" t="s">
        <v>92</v>
      </c>
      <c r="B8" s="29">
        <f>MACH1718!C131</f>
        <v>6.5757999999999992</v>
      </c>
      <c r="C8" s="29">
        <f>MACH1718!D131</f>
        <v>9.3239999999999998</v>
      </c>
      <c r="D8" s="32">
        <v>4.2</v>
      </c>
      <c r="E8" s="7">
        <f t="shared" si="0"/>
        <v>27.618359999999999</v>
      </c>
      <c r="F8" s="7">
        <f t="shared" si="1"/>
        <v>39.160800000000002</v>
      </c>
      <c r="G8" s="7">
        <f t="shared" si="2"/>
        <v>66.779160000000005</v>
      </c>
      <c r="H8" s="283"/>
    </row>
    <row r="9" spans="1:9">
      <c r="A9" s="21" t="s">
        <v>142</v>
      </c>
      <c r="B9" s="29">
        <f>MACH1718!C60</f>
        <v>13.1882</v>
      </c>
      <c r="C9" s="29">
        <f>MACH1718!D60</f>
        <v>8.9711999999999996</v>
      </c>
      <c r="D9" s="32">
        <v>0.5</v>
      </c>
      <c r="E9" s="7">
        <f t="shared" si="0"/>
        <v>6.5941000000000001</v>
      </c>
      <c r="F9" s="7">
        <f t="shared" si="1"/>
        <v>4.4855999999999998</v>
      </c>
      <c r="G9" s="7">
        <f t="shared" si="2"/>
        <v>11.079699999999999</v>
      </c>
      <c r="H9" s="283"/>
    </row>
    <row r="10" spans="1:9">
      <c r="A10" s="21" t="s">
        <v>143</v>
      </c>
      <c r="B10" s="29">
        <f>MACH1718!C92</f>
        <v>3.3915999999999995</v>
      </c>
      <c r="C10" s="29">
        <f>MACH1718!D92</f>
        <v>4.7249999999999996</v>
      </c>
      <c r="D10" s="32">
        <v>0.14000000000000001</v>
      </c>
      <c r="E10" s="7">
        <f t="shared" si="0"/>
        <v>0.47482399999999997</v>
      </c>
      <c r="F10" s="7">
        <f t="shared" si="1"/>
        <v>0.66149999999999998</v>
      </c>
      <c r="G10" s="7">
        <f t="shared" si="2"/>
        <v>1.1363239999999999</v>
      </c>
      <c r="H10" s="283"/>
    </row>
    <row r="11" spans="1:9">
      <c r="A11" s="21" t="s">
        <v>144</v>
      </c>
      <c r="B11" s="29">
        <f>MACH1718!C61</f>
        <v>5.5388000000000002</v>
      </c>
      <c r="C11" s="29">
        <f>MACH1718!D61</f>
        <v>12.033000000000001</v>
      </c>
      <c r="D11" s="32">
        <v>1.52</v>
      </c>
      <c r="E11" s="7">
        <f t="shared" si="0"/>
        <v>8.4189760000000007</v>
      </c>
      <c r="F11" s="7">
        <f t="shared" si="1"/>
        <v>18.290160000000004</v>
      </c>
      <c r="G11" s="7">
        <f t="shared" si="2"/>
        <v>26.709136000000004</v>
      </c>
      <c r="H11" s="283"/>
    </row>
    <row r="12" spans="1:9">
      <c r="A12" s="21" t="s">
        <v>145</v>
      </c>
      <c r="B12" s="29">
        <f>MACH1718!C165</f>
        <v>1.9764000000000002</v>
      </c>
      <c r="C12" s="29">
        <f>MACH1718!D165</f>
        <v>7.9758000000000004</v>
      </c>
      <c r="D12" s="32">
        <v>1.2</v>
      </c>
      <c r="E12" s="7">
        <f t="shared" si="0"/>
        <v>2.37168</v>
      </c>
      <c r="F12" s="7">
        <f t="shared" si="1"/>
        <v>9.5709599999999995</v>
      </c>
      <c r="G12" s="7">
        <f t="shared" si="2"/>
        <v>11.942639999999999</v>
      </c>
      <c r="H12" s="283"/>
    </row>
    <row r="13" spans="1:9">
      <c r="A13" s="77" t="s">
        <v>93</v>
      </c>
      <c r="B13" s="29">
        <f>MACH1718!C63</f>
        <v>0.40260000000000001</v>
      </c>
      <c r="C13" s="29">
        <f>MACH1718!D63</f>
        <v>1.7136000000000002</v>
      </c>
      <c r="D13" s="32">
        <v>0.28999999999999998</v>
      </c>
      <c r="E13" s="7">
        <f t="shared" si="0"/>
        <v>0.116754</v>
      </c>
      <c r="F13" s="7">
        <f t="shared" si="1"/>
        <v>0.49694400000000005</v>
      </c>
      <c r="G13" s="7">
        <f t="shared" si="2"/>
        <v>0.61369800000000008</v>
      </c>
      <c r="H13" s="283"/>
    </row>
    <row r="14" spans="1:9">
      <c r="A14" s="21" t="s">
        <v>146</v>
      </c>
      <c r="B14" s="29">
        <f>MACH1718!C95</f>
        <v>0.21959999999999999</v>
      </c>
      <c r="C14" s="29">
        <f>MACH1718!D95</f>
        <v>1.071</v>
      </c>
      <c r="D14" s="32">
        <v>0.36</v>
      </c>
      <c r="E14" s="7">
        <f t="shared" si="0"/>
        <v>7.9055999999999987E-2</v>
      </c>
      <c r="F14" s="7">
        <f t="shared" si="1"/>
        <v>0.38555999999999996</v>
      </c>
      <c r="G14" s="7">
        <f t="shared" si="2"/>
        <v>0.46461599999999992</v>
      </c>
      <c r="H14" s="283"/>
    </row>
    <row r="15" spans="1:9">
      <c r="A15" s="21"/>
      <c r="B15" s="29"/>
      <c r="C15" s="29"/>
      <c r="D15" s="25"/>
      <c r="E15" s="7">
        <f t="shared" si="0"/>
        <v>0</v>
      </c>
      <c r="F15" s="7">
        <f t="shared" si="1"/>
        <v>0</v>
      </c>
      <c r="G15" s="7">
        <f t="shared" si="2"/>
        <v>0</v>
      </c>
      <c r="H15" s="283"/>
    </row>
    <row r="16" spans="1:9">
      <c r="A16" s="21"/>
      <c r="B16" s="29"/>
      <c r="C16" s="29"/>
      <c r="D16" s="25"/>
      <c r="E16" s="7">
        <f t="shared" si="0"/>
        <v>0</v>
      </c>
      <c r="F16" s="7">
        <f t="shared" si="1"/>
        <v>0</v>
      </c>
      <c r="G16" s="7">
        <f t="shared" si="2"/>
        <v>0</v>
      </c>
      <c r="H16" s="283"/>
    </row>
    <row r="17" spans="1:8">
      <c r="A17" s="21"/>
      <c r="B17" s="29"/>
      <c r="C17" s="29"/>
      <c r="D17" s="25"/>
      <c r="E17" s="7">
        <f t="shared" si="0"/>
        <v>0</v>
      </c>
      <c r="F17" s="7">
        <f t="shared" si="1"/>
        <v>0</v>
      </c>
      <c r="G17" s="7">
        <f t="shared" si="2"/>
        <v>0</v>
      </c>
      <c r="H17" s="283"/>
    </row>
    <row r="18" spans="1:8">
      <c r="A18" s="21"/>
      <c r="B18" s="29"/>
      <c r="C18" s="29"/>
      <c r="D18" s="25"/>
      <c r="E18" s="7">
        <f t="shared" si="0"/>
        <v>0</v>
      </c>
      <c r="F18" s="7">
        <f t="shared" si="1"/>
        <v>0</v>
      </c>
      <c r="G18" s="7">
        <f t="shared" si="2"/>
        <v>0</v>
      </c>
      <c r="H18" s="283"/>
    </row>
    <row r="19" spans="1:8">
      <c r="A19" s="21"/>
      <c r="B19" s="29"/>
      <c r="C19" s="29"/>
      <c r="D19" s="25"/>
      <c r="E19" s="7">
        <f t="shared" si="0"/>
        <v>0</v>
      </c>
      <c r="F19" s="7">
        <f t="shared" si="1"/>
        <v>0</v>
      </c>
      <c r="G19" s="7">
        <f t="shared" si="2"/>
        <v>0</v>
      </c>
      <c r="H19" s="283"/>
    </row>
    <row r="20" spans="1:8">
      <c r="A20" s="21"/>
      <c r="B20" s="29"/>
      <c r="C20" s="29"/>
      <c r="D20" s="25"/>
      <c r="E20" s="7">
        <f t="shared" si="0"/>
        <v>0</v>
      </c>
      <c r="F20" s="7">
        <f t="shared" si="1"/>
        <v>0</v>
      </c>
      <c r="G20" s="7">
        <f t="shared" si="2"/>
        <v>0</v>
      </c>
      <c r="H20" s="283"/>
    </row>
    <row r="21" spans="1:8">
      <c r="A21" s="21"/>
      <c r="B21" s="29"/>
      <c r="C21" s="29"/>
      <c r="D21" s="25"/>
      <c r="E21" s="7">
        <f t="shared" si="0"/>
        <v>0</v>
      </c>
      <c r="F21" s="7">
        <f t="shared" si="1"/>
        <v>0</v>
      </c>
      <c r="G21" s="7">
        <f t="shared" si="2"/>
        <v>0</v>
      </c>
      <c r="H21" s="283"/>
    </row>
    <row r="22" spans="1:8">
      <c r="A22" s="21"/>
      <c r="B22" s="29"/>
      <c r="C22" s="29"/>
      <c r="D22" s="25"/>
      <c r="E22" s="7">
        <f t="shared" si="0"/>
        <v>0</v>
      </c>
      <c r="F22" s="7">
        <f t="shared" si="1"/>
        <v>0</v>
      </c>
      <c r="G22" s="7">
        <f t="shared" si="2"/>
        <v>0</v>
      </c>
      <c r="H22" s="283"/>
    </row>
    <row r="23" spans="1:8">
      <c r="A23" s="77"/>
      <c r="B23" s="29"/>
      <c r="C23" s="29"/>
      <c r="D23" s="78"/>
      <c r="E23" s="7">
        <f>(B23*D23)</f>
        <v>0</v>
      </c>
      <c r="F23" s="7">
        <f>(C23*D23)</f>
        <v>0</v>
      </c>
      <c r="G23" s="7">
        <f>(E23+F23)</f>
        <v>0</v>
      </c>
      <c r="H23" s="283"/>
    </row>
    <row r="24" spans="1:8">
      <c r="A24" s="77"/>
      <c r="B24" s="29"/>
      <c r="C24" s="29"/>
      <c r="D24" s="78"/>
      <c r="E24" s="7">
        <f>(B24*D24)</f>
        <v>0</v>
      </c>
      <c r="F24" s="7">
        <f>(C24*D24)</f>
        <v>0</v>
      </c>
      <c r="G24" s="7">
        <f>(E24+F24)</f>
        <v>0</v>
      </c>
      <c r="H24" s="283"/>
    </row>
    <row r="25" spans="1:8">
      <c r="A25" s="77"/>
      <c r="B25" s="29"/>
      <c r="C25" s="29"/>
      <c r="D25" s="78"/>
      <c r="E25" s="7">
        <f>(B25*D25)</f>
        <v>0</v>
      </c>
      <c r="F25" s="7">
        <f>(C25*D25)</f>
        <v>0</v>
      </c>
      <c r="G25" s="7">
        <f>(E25+F25)</f>
        <v>0</v>
      </c>
      <c r="H25" s="283"/>
    </row>
    <row r="26" spans="1:8">
      <c r="A26" s="242"/>
      <c r="B26" s="242"/>
      <c r="C26" s="242"/>
      <c r="D26" s="242"/>
      <c r="E26" s="242"/>
      <c r="F26" s="242"/>
      <c r="G26" s="242"/>
      <c r="H26" s="283"/>
    </row>
    <row r="27" spans="1:8" ht="15">
      <c r="A27" s="291" t="s">
        <v>121</v>
      </c>
      <c r="B27" s="292"/>
      <c r="C27" s="292"/>
      <c r="D27" s="293"/>
      <c r="E27" s="33">
        <f>SUM(E6:E25)</f>
        <v>57.324017999999995</v>
      </c>
      <c r="F27" s="33">
        <f>SUM(F6:F25)</f>
        <v>83.731157999999994</v>
      </c>
      <c r="G27" s="33">
        <f>(E27+F27)</f>
        <v>141.05517599999999</v>
      </c>
      <c r="H27" s="283"/>
    </row>
    <row r="28" spans="1:8" ht="15">
      <c r="A28" s="291" t="s">
        <v>122</v>
      </c>
      <c r="B28" s="292"/>
      <c r="C28" s="292"/>
      <c r="D28" s="293"/>
      <c r="E28" s="33">
        <f>E4</f>
        <v>354.87115999999992</v>
      </c>
      <c r="F28" s="33">
        <f>F4</f>
        <v>79.850987999999987</v>
      </c>
      <c r="G28" s="33">
        <f>E28+F28</f>
        <v>434.72214799999989</v>
      </c>
      <c r="H28" s="283"/>
    </row>
    <row r="29" spans="1:8" ht="15" customHeight="1">
      <c r="A29" s="294" t="s">
        <v>123</v>
      </c>
      <c r="B29" s="295"/>
      <c r="C29" s="295"/>
      <c r="D29" s="296"/>
      <c r="E29" s="46">
        <f>E27+E28</f>
        <v>412.19517799999994</v>
      </c>
      <c r="F29" s="46">
        <f>F27+F28</f>
        <v>163.58214599999997</v>
      </c>
      <c r="G29" s="46">
        <f>G27+G28</f>
        <v>575.77732399999991</v>
      </c>
      <c r="H29" s="283"/>
    </row>
    <row r="30" spans="1:8" ht="33.75" customHeight="1">
      <c r="A30" s="287" t="s">
        <v>124</v>
      </c>
      <c r="B30" s="288"/>
      <c r="C30" s="289"/>
      <c r="D30" s="118">
        <v>20</v>
      </c>
      <c r="E30" s="300"/>
      <c r="F30" s="301"/>
      <c r="G30" s="46">
        <f>(D30*D4)</f>
        <v>221.2</v>
      </c>
      <c r="H30" s="283"/>
    </row>
    <row r="31" spans="1:8">
      <c r="A31" s="248"/>
      <c r="B31" s="248"/>
      <c r="C31" s="248"/>
      <c r="D31" s="248"/>
      <c r="E31" s="248"/>
      <c r="F31" s="248"/>
      <c r="G31" s="248"/>
      <c r="H31" s="284"/>
    </row>
  </sheetData>
  <mergeCells count="18">
    <mergeCell ref="I2:I3"/>
    <mergeCell ref="A27:D27"/>
    <mergeCell ref="A28:D28"/>
    <mergeCell ref="A29:D29"/>
    <mergeCell ref="F2:F3"/>
    <mergeCell ref="G2:G3"/>
    <mergeCell ref="A26:G26"/>
    <mergeCell ref="H1:H31"/>
    <mergeCell ref="A31:G31"/>
    <mergeCell ref="E30:F30"/>
    <mergeCell ref="A30:C30"/>
    <mergeCell ref="A5:G5"/>
    <mergeCell ref="A1:G1"/>
    <mergeCell ref="A2:A3"/>
    <mergeCell ref="B2:B3"/>
    <mergeCell ref="C2:C3"/>
    <mergeCell ref="D2:D3"/>
    <mergeCell ref="E2:E3"/>
  </mergeCells>
  <phoneticPr fontId="7" type="noConversion"/>
  <printOptions verticalCentered="1" gridLines="1"/>
  <pageMargins left="0" right="0" top="0" bottom="0" header="0" footer="0"/>
  <pageSetup orientation="landscape" blackAndWhite="1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661CC29D22ED46B0B08DB2772105AF" ma:contentTypeVersion="10" ma:contentTypeDescription="Create a new document." ma:contentTypeScope="" ma:versionID="e3b1a7f1c772bca6047cf995b5640b34">
  <xsd:schema xmlns:xsd="http://www.w3.org/2001/XMLSchema" xmlns:xs="http://www.w3.org/2001/XMLSchema" xmlns:p="http://schemas.microsoft.com/office/2006/metadata/properties" xmlns:ns2="4abded51-cd2f-4da1-81cc-ad8d031edefc" targetNamespace="http://schemas.microsoft.com/office/2006/metadata/properties" ma:root="true" ma:fieldsID="0b2625c780a355cb3dab1fcd6e41c69b" ns2:_="">
    <xsd:import namespace="4abded51-cd2f-4da1-81cc-ad8d031ede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ded51-cd2f-4da1-81cc-ad8d031ede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DFFCDF7-FA0E-4BDB-8921-B04B45F2C1DC}"/>
</file>

<file path=customXml/itemProps2.xml><?xml version="1.0" encoding="utf-8"?>
<ds:datastoreItem xmlns:ds="http://schemas.openxmlformats.org/officeDocument/2006/customXml" ds:itemID="{04E0FF54-8A93-48F2-9DC2-259ED4702A2D}"/>
</file>

<file path=customXml/itemProps3.xml><?xml version="1.0" encoding="utf-8"?>
<ds:datastoreItem xmlns:ds="http://schemas.openxmlformats.org/officeDocument/2006/customXml" ds:itemID="{073E3A0F-BF0A-4A70-BA8C-9DCD817531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NFREC /IFAS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A. Smith</dc:creator>
  <cp:keywords/>
  <dc:description/>
  <cp:lastModifiedBy>X</cp:lastModifiedBy>
  <cp:revision/>
  <dcterms:created xsi:type="dcterms:W3CDTF">1999-10-01T14:53:05Z</dcterms:created>
  <dcterms:modified xsi:type="dcterms:W3CDTF">2023-02-09T18:53:21Z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HYMAN,BARBARA R</vt:lpwstr>
  </property>
  <property fmtid="{D5CDD505-2E9C-101B-9397-08002B2CF9AE}" pid="3" name="display_urn:schemas-microsoft-com:office:office#Author">
    <vt:lpwstr>Scott A. Smith</vt:lpwstr>
  </property>
</Properties>
</file>