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80" windowHeight="4770" activeTab="5"/>
  </bookViews>
  <sheets>
    <sheet name="Introduction" sheetId="1" r:id="rId1"/>
    <sheet name="FRED Budget" sheetId="2" r:id="rId2"/>
    <sheet name="Your Budget" sheetId="3" r:id="rId3"/>
    <sheet name="MC-35hp" sheetId="4" r:id="rId4"/>
    <sheet name="MC-55hp" sheetId="5" r:id="rId5"/>
    <sheet name="MC-70hp" sheetId="6" r:id="rId6"/>
    <sheet name="MC-75hp" sheetId="7" r:id="rId7"/>
    <sheet name="MC-80hp" sheetId="8" r:id="rId8"/>
    <sheet name="MC-100hp" sheetId="9" r:id="rId9"/>
    <sheet name="MC-110hp" sheetId="10" r:id="rId10"/>
    <sheet name="MC-125hp" sheetId="11" r:id="rId11"/>
    <sheet name="MC-130hp" sheetId="12" r:id="rId12"/>
    <sheet name="MC-140hp" sheetId="13" r:id="rId13"/>
    <sheet name="MC-180hp" sheetId="14" r:id="rId14"/>
    <sheet name="MC-210hp" sheetId="15" r:id="rId15"/>
    <sheet name="MC-SelfProp" sheetId="16" r:id="rId16"/>
    <sheet name="MC-MiscEquip" sheetId="17" r:id="rId17"/>
    <sheet name="Your Herbicides" sheetId="18" r:id="rId18"/>
    <sheet name="Your Fungicides" sheetId="19" r:id="rId19"/>
    <sheet name="Your Insecticides &amp; Nematicides" sheetId="20" r:id="rId20"/>
    <sheet name="Your Fumigants" sheetId="21" r:id="rId21"/>
    <sheet name="MACH0809" sheetId="22" r:id="rId22"/>
    <sheet name="MACH1920" sheetId="23" r:id="rId23"/>
    <sheet name="Equipment" sheetId="24" r:id="rId24"/>
  </sheets>
  <definedNames>
    <definedName name="_xlfn.AVERAGEIF" hidden="1">#NAME?</definedName>
    <definedName name="_xlnm.Print_Titles" localSheetId="21">'MACH0809'!$2:$5</definedName>
  </definedNames>
  <calcPr fullCalcOnLoad="1"/>
</workbook>
</file>

<file path=xl/sharedStrings.xml><?xml version="1.0" encoding="utf-8"?>
<sst xmlns="http://schemas.openxmlformats.org/spreadsheetml/2006/main" count="928" uniqueCount="438">
  <si>
    <t>Unit</t>
  </si>
  <si>
    <t>Quantity</t>
  </si>
  <si>
    <t>Price</t>
  </si>
  <si>
    <t>Herbicide</t>
  </si>
  <si>
    <t>acre</t>
  </si>
  <si>
    <t>Insecticide</t>
  </si>
  <si>
    <t>Fungicide</t>
  </si>
  <si>
    <t>Overhead and Management</t>
  </si>
  <si>
    <t>Total Pre-Harvest Fixed Costs</t>
  </si>
  <si>
    <t>Harvest and Marketing Costs:</t>
  </si>
  <si>
    <t>Land Rent</t>
  </si>
  <si>
    <t>Crop Insurance</t>
  </si>
  <si>
    <t>Cover Crop</t>
  </si>
  <si>
    <t>Hrs/Acre</t>
  </si>
  <si>
    <t>Tractor Hp &amp; Implement</t>
  </si>
  <si>
    <t>Cost/Hr</t>
  </si>
  <si>
    <t>Total Cost per Acre</t>
  </si>
  <si>
    <t>Miscellaneous</t>
  </si>
  <si>
    <t>Hrs./Acre</t>
  </si>
  <si>
    <t>Tractor 80 HP</t>
  </si>
  <si>
    <t>Tractor 55 HP</t>
  </si>
  <si>
    <t>Pre-Harvest Variable Costs</t>
  </si>
  <si>
    <t>Pre-Harvest Fixed Costs</t>
  </si>
  <si>
    <t>Tractors and Equipment</t>
  </si>
  <si>
    <t>Interest on Operating Capital</t>
  </si>
  <si>
    <t>Your Cost/Acre</t>
  </si>
  <si>
    <t>Implement Expenses</t>
  </si>
  <si>
    <t>Tractor Expenses</t>
  </si>
  <si>
    <t>Tractor Driver Labor</t>
  </si>
  <si>
    <t>Units</t>
  </si>
  <si>
    <t>Price/Unit</t>
  </si>
  <si>
    <t># Of Apps</t>
  </si>
  <si>
    <t>Your Anticipated Yield (cwt)</t>
  </si>
  <si>
    <t># of Apps</t>
  </si>
  <si>
    <t>Driver Wage $/hr</t>
  </si>
  <si>
    <t>Machinery Costs for Calculating Your Budget with a 55 hp Tractor</t>
  </si>
  <si>
    <t>Machinery Costs for Calculating Your Budget with a 80 hp Tractor</t>
  </si>
  <si>
    <t>Machinery Costs for Calculating Your Budget with Self-Propelled Equipment.</t>
  </si>
  <si>
    <t>Cost per Unit and Total Costs per Acre</t>
  </si>
  <si>
    <t>Price /Unit</t>
  </si>
  <si>
    <t>Your Fungicides</t>
  </si>
  <si>
    <t>General Farm Labor</t>
  </si>
  <si>
    <t>Your Overhead and Farm Management Cost (as a % of total variable costs)</t>
  </si>
  <si>
    <t>Total Expenses Less Tractor Driver Expense</t>
  </si>
  <si>
    <t>Number of Months This Crop</t>
  </si>
  <si>
    <t>Total Truck Expense This Crop</t>
  </si>
  <si>
    <t>Total Truck Expense per Acre This Crop</t>
  </si>
  <si>
    <t>Additional Self-Propelled Equipment</t>
  </si>
  <si>
    <t>Tractor Driver Labor Expense</t>
  </si>
  <si>
    <t>Your Herbicides</t>
  </si>
  <si>
    <t>Equipment Name</t>
  </si>
  <si>
    <t>Other Harvest and Marketing Costs</t>
  </si>
  <si>
    <t>Total Planted Acreage</t>
  </si>
  <si>
    <t>Percent Business Use During Crop Season</t>
  </si>
  <si>
    <t>Mileage Associated with This Crop</t>
  </si>
  <si>
    <t>Farm Trucks (driver cost included in overhead expense)</t>
  </si>
  <si>
    <t>Total Pre-Harvest Variable Costs EXCLUDING Pre-Harvest Interest Expense</t>
  </si>
  <si>
    <t>Interest Expense on Variable Costs per Acre</t>
  </si>
  <si>
    <t>Total Pre-Harvest Variable Costs INCLUDING Pre-Harvest Interest Expense</t>
  </si>
  <si>
    <t>Length of Interest Bearing Season for This Crop in Months</t>
  </si>
  <si>
    <t>Interest Rate on Operating Capital as a % of Operating Capital for this Crop</t>
  </si>
  <si>
    <t>Total Pre-Harvest Fixed Costs EXCLUDING Interest on Fixed and Overhead</t>
  </si>
  <si>
    <t>Total Pre-Harvest Fixed Costs INCLUDING Interest and Overhead Expenses</t>
  </si>
  <si>
    <t>Your Total Pre-Harvest Costs INCLUDING Total Fixed and Variable Expenses</t>
  </si>
  <si>
    <t>12 Mo Annual Mileage (All Vehicles)</t>
  </si>
  <si>
    <t>Total Self-Propelled Vehicle Hours per Acre. Truck Driver Cost Accounted for in Overhead and Management.</t>
  </si>
  <si>
    <t>Total Pre-Harvest Variable Costs EXCLUDING Interest on Variable Costs</t>
  </si>
  <si>
    <t>Total Pre-Harvest Variable Costs INCLUDING Interest on Variable Costs</t>
  </si>
  <si>
    <t>Farm Trucks Cost (driver cost INCLUDED in overhead and management expense)</t>
  </si>
  <si>
    <t>Machinery Costs for Calculating Your Budget with a 125 hp Tractor</t>
  </si>
  <si>
    <t>Machinery Costs for Calculating Your Budget with a 140 hp Tractor</t>
  </si>
  <si>
    <t>Variable Cost/hr</t>
  </si>
  <si>
    <t>Fixed Cost/hr</t>
  </si>
  <si>
    <t>Variable Cost/Hr</t>
  </si>
  <si>
    <t>Fixed Cost/Hr</t>
  </si>
  <si>
    <t>Your Fixed Cost/Hr</t>
  </si>
  <si>
    <t>Total Tractor Cost/Acre</t>
  </si>
  <si>
    <t>Total Equipment Cost/Acre</t>
  </si>
  <si>
    <t>Tractor 140 Hp</t>
  </si>
  <si>
    <t>Miscellaneous Equipment</t>
  </si>
  <si>
    <t>Total Self-Propelled Vehicle Cost per Acre</t>
  </si>
  <si>
    <t>Your Variable Cost/Hr</t>
  </si>
  <si>
    <t>Hours/acre</t>
  </si>
  <si>
    <t xml:space="preserve">Per Mile Business Expense </t>
  </si>
  <si>
    <t>Tractors and Machinery</t>
  </si>
  <si>
    <t>Total Miscellaneous Cost/Acre</t>
  </si>
  <si>
    <t>Tractor Driver $/Hr (tractor labor cost accounted for in Overhead and Management).</t>
  </si>
  <si>
    <t>Scouting</t>
  </si>
  <si>
    <t>Plastic Mulch</t>
  </si>
  <si>
    <t>Fertilizer Mixed and Lime</t>
  </si>
  <si>
    <t>Machinery Costs for Calculating Your Budget with a 35 hp Tractor</t>
  </si>
  <si>
    <t>Machinery Costs for Calculating Your Budget with a 75 hp Tractor</t>
  </si>
  <si>
    <t>Machinery Costs for Calculating Your Budget with a 110 hp Tractor</t>
  </si>
  <si>
    <t>Tractor 75 Hp</t>
  </si>
  <si>
    <t>Tractor 35 Hp</t>
  </si>
  <si>
    <t>Tractor 125 Hp</t>
  </si>
  <si>
    <t>Tractor 110 Hp</t>
  </si>
  <si>
    <t>Your Total Harvest and Marketing Costs</t>
  </si>
  <si>
    <t>Tractor Driver Multiplier (to account for re-tooling, re-fueling and travel time.)</t>
  </si>
  <si>
    <t>Total IFAS Estimated Harvest and Marketing Costs Compared to your costs.</t>
  </si>
  <si>
    <t>Total Pre-Harvest Costs</t>
  </si>
  <si>
    <t>Your Total Cost/Acre</t>
  </si>
  <si>
    <t>Your Variable Cost/Acre</t>
  </si>
  <si>
    <t>Your Fixed Cost/Acre</t>
  </si>
  <si>
    <t>YourTotal Cost/Acre</t>
  </si>
  <si>
    <t>Total Cost/Acre</t>
  </si>
  <si>
    <t>Total Miscellaneous Equipment Expenses</t>
  </si>
  <si>
    <t>Your Fix Cost/Acre</t>
  </si>
  <si>
    <t>Machinery Costs for Calculating Your Budget with a 70 hp Tractor</t>
  </si>
  <si>
    <t>Tractor 70 Hp</t>
  </si>
  <si>
    <t>Machinery Costs for Calculating Your Budget with a 100 hp Tractor</t>
  </si>
  <si>
    <t>Tractor 100 Hp</t>
  </si>
  <si>
    <t>Machinery Costs for Calculating Your Budget with a 210 hp Tractor</t>
  </si>
  <si>
    <t>Tractor 210 HP</t>
  </si>
  <si>
    <t>Tractor 180 HP</t>
  </si>
  <si>
    <t>Machinery Costs for Calculating Your Budget with a 180 hp Tractor</t>
  </si>
  <si>
    <t>Disc (18 ft)</t>
  </si>
  <si>
    <t>Ditch Plow (7 ft)</t>
  </si>
  <si>
    <t>V-Ditcher</t>
  </si>
  <si>
    <t>Boom Sprayer</t>
  </si>
  <si>
    <t>Stake Wagon</t>
  </si>
  <si>
    <t>Fertilizer Tender</t>
  </si>
  <si>
    <t>Row Marker</t>
  </si>
  <si>
    <t>Fumigator (3-row)</t>
  </si>
  <si>
    <t>Diesel Pump 60hp</t>
  </si>
  <si>
    <t>Diesel Pump 21hp</t>
  </si>
  <si>
    <t>Plastic Machine (3-row)</t>
  </si>
  <si>
    <r>
      <t>Your Estimated Cost of Producing One Acre of:</t>
    </r>
    <r>
      <rPr>
        <b/>
        <sz val="12"/>
        <color indexed="9"/>
        <rFont val="Arial"/>
        <family val="2"/>
      </rPr>
      <t xml:space="preserve"> </t>
    </r>
  </si>
  <si>
    <t>Your Anticipated Yield</t>
  </si>
  <si>
    <t>Stakes</t>
  </si>
  <si>
    <t>Plastic String</t>
  </si>
  <si>
    <t>Pull and Bundle Mulch</t>
  </si>
  <si>
    <t>Pick, Pack and Haul</t>
  </si>
  <si>
    <t>Sell</t>
  </si>
  <si>
    <t>Containers</t>
  </si>
  <si>
    <t>70 Hp Tractor</t>
  </si>
  <si>
    <t>125 Hp Tractor</t>
  </si>
  <si>
    <t>Herbicide Sprayer</t>
  </si>
  <si>
    <t>gal</t>
  </si>
  <si>
    <t>Thiodan</t>
  </si>
  <si>
    <t>Lannate</t>
  </si>
  <si>
    <t>Dipel</t>
  </si>
  <si>
    <t>lb</t>
  </si>
  <si>
    <t>Agri-Mek</t>
  </si>
  <si>
    <t>Ambush</t>
  </si>
  <si>
    <t>Asana</t>
  </si>
  <si>
    <t>Gramoxone</t>
  </si>
  <si>
    <t>Ridamil</t>
  </si>
  <si>
    <t>Kocide</t>
  </si>
  <si>
    <t>Bravo</t>
  </si>
  <si>
    <t>Admire</t>
  </si>
  <si>
    <t>Lorsban</t>
  </si>
  <si>
    <t>Units/App</t>
  </si>
  <si>
    <t>Units/ App</t>
  </si>
  <si>
    <t>Equipment Expenses</t>
  </si>
  <si>
    <t>Cross Ditch</t>
  </si>
  <si>
    <t>180 hp tractor</t>
  </si>
  <si>
    <t>210 hp tractor</t>
  </si>
  <si>
    <t>100 hp tractor</t>
  </si>
  <si>
    <t>Stake Driver (3-row)</t>
  </si>
  <si>
    <t>Transplanter (3-row)</t>
  </si>
  <si>
    <t>Enduce (surfactant)</t>
  </si>
  <si>
    <t>Javalin</t>
  </si>
  <si>
    <t>Manex</t>
  </si>
  <si>
    <t>Farm PickupTrucks (data for farm truck business use only)*</t>
  </si>
  <si>
    <t>Your $/unit</t>
  </si>
  <si>
    <t>carton</t>
  </si>
  <si>
    <t>Blue cells cannot be altered by user.</t>
  </si>
  <si>
    <t>Orange cells permit user input.</t>
  </si>
  <si>
    <t>Machinery Name</t>
  </si>
  <si>
    <t>DESCRIPTION</t>
  </si>
  <si>
    <t>Dollars per Hour</t>
  </si>
  <si>
    <t>Hours per Acre</t>
  </si>
  <si>
    <t>Total Cost per Hour</t>
  </si>
  <si>
    <t>Variable</t>
  </si>
  <si>
    <t>Fixed</t>
  </si>
  <si>
    <t>Baler</t>
  </si>
  <si>
    <t>Subsoiler 12ft</t>
  </si>
  <si>
    <t>Chisel Plow 12ft</t>
  </si>
  <si>
    <t>Spring Tooth 25ft</t>
  </si>
  <si>
    <t>Superbedder 3R</t>
  </si>
  <si>
    <t>Middlebuster 6'</t>
  </si>
  <si>
    <t>Middlebuster 18'</t>
  </si>
  <si>
    <t>Heavy Disc 13'</t>
  </si>
  <si>
    <t>8' Disc</t>
  </si>
  <si>
    <t>12' Disc</t>
  </si>
  <si>
    <t>13' Disc</t>
  </si>
  <si>
    <t>14' Disc</t>
  </si>
  <si>
    <t>16' Disc</t>
  </si>
  <si>
    <t>18' Disc</t>
  </si>
  <si>
    <t>20' Disc</t>
  </si>
  <si>
    <t>24' Disc</t>
  </si>
  <si>
    <t>27' Disc</t>
  </si>
  <si>
    <t>30' Disc</t>
  </si>
  <si>
    <t>18' Bedder with hopper</t>
  </si>
  <si>
    <t>6' Bedder</t>
  </si>
  <si>
    <t>Vine Pruner</t>
  </si>
  <si>
    <t>Liquid Fertilizer Applicator</t>
  </si>
  <si>
    <t>1 Row Fertilizer Distributor</t>
  </si>
  <si>
    <t>2 Row Fertilizer Distributor</t>
  </si>
  <si>
    <t>3 Row Fertilizer Distributor</t>
  </si>
  <si>
    <t>20' Broadcast Spreader</t>
  </si>
  <si>
    <t>Chain Potato Harvester</t>
  </si>
  <si>
    <t>Belt Potato Harvester</t>
  </si>
  <si>
    <t>7' Bottom Plow</t>
  </si>
  <si>
    <t>12' Bottom Plow</t>
  </si>
  <si>
    <t>14' Reverse Plow</t>
  </si>
  <si>
    <t>12' Mole Drain</t>
  </si>
  <si>
    <t>12' Moldboard</t>
  </si>
  <si>
    <t>7' Ditch Plow</t>
  </si>
  <si>
    <t>Sidemower</t>
  </si>
  <si>
    <t>6' Mower</t>
  </si>
  <si>
    <t>Traveling Gun Rig</t>
  </si>
  <si>
    <t>Stake Puller 1 Row</t>
  </si>
  <si>
    <t>Stake Puller 3 Row</t>
  </si>
  <si>
    <t>Stake Puller 6 Row</t>
  </si>
  <si>
    <t>Span Piler</t>
  </si>
  <si>
    <t>Potato Cutter</t>
  </si>
  <si>
    <t>Plastic Machine 1 Row</t>
  </si>
  <si>
    <t>Plastic Machine 3 Row</t>
  </si>
  <si>
    <t>Fertilizer Mixer</t>
  </si>
  <si>
    <t>14' Leveler</t>
  </si>
  <si>
    <t>20' Leveler</t>
  </si>
  <si>
    <t>Hole Puncher 1 row 6'</t>
  </si>
  <si>
    <t>Fumigatator 1 row 6'</t>
  </si>
  <si>
    <t>Fumigatator 3 row18'</t>
  </si>
  <si>
    <t>Diesel Pump 21 hp</t>
  </si>
  <si>
    <t>Diesel Pump 40 hp</t>
  </si>
  <si>
    <t>Diesel Pump 60 hp</t>
  </si>
  <si>
    <t>Diesel Pump 75 hp</t>
  </si>
  <si>
    <t>Diesel Pump 100 hp</t>
  </si>
  <si>
    <t>Diesel Pump 115 hp</t>
  </si>
  <si>
    <t>Diesel Pump 117 hp</t>
  </si>
  <si>
    <t>Diesel Pump 125 hp</t>
  </si>
  <si>
    <t>Diesel Pump 150 hp</t>
  </si>
  <si>
    <t>Diesel Pump 175 hp</t>
  </si>
  <si>
    <t>Diesel Pump 200 hp</t>
  </si>
  <si>
    <t>Electric Pump 10 hp</t>
  </si>
  <si>
    <t>Electric Pump 25 hp</t>
  </si>
  <si>
    <t>Electric Pump 30 hp</t>
  </si>
  <si>
    <t>Elevavator</t>
  </si>
  <si>
    <t>Cross Ditcher 6'</t>
  </si>
  <si>
    <t>Cross Ditcher 20'</t>
  </si>
  <si>
    <t>Cross Ditcher 30'</t>
  </si>
  <si>
    <t>Burner 12'</t>
  </si>
  <si>
    <t>Burner 18'</t>
  </si>
  <si>
    <t>Bulk Truck</t>
  </si>
  <si>
    <t>Bed Press 6'</t>
  </si>
  <si>
    <t>Bed Press 12'</t>
  </si>
  <si>
    <t>Stake Driver 3 row</t>
  </si>
  <si>
    <t>Lettuce Planter</t>
  </si>
  <si>
    <t>Grain Drill</t>
  </si>
  <si>
    <t>Vacuum Corn Planter</t>
  </si>
  <si>
    <t>Celery Transplanter</t>
  </si>
  <si>
    <t>Cabbage Transplanter</t>
  </si>
  <si>
    <t>Transplanter 1 row</t>
  </si>
  <si>
    <t>Transplanter 3 row</t>
  </si>
  <si>
    <t>Potato Planter</t>
  </si>
  <si>
    <t>Plug Mix Planter</t>
  </si>
  <si>
    <t>Planter 6'</t>
  </si>
  <si>
    <t>Planter 10'</t>
  </si>
  <si>
    <t>Plant Setter</t>
  </si>
  <si>
    <t>Weed Chopper 27'</t>
  </si>
  <si>
    <t>Roterra</t>
  </si>
  <si>
    <t>Rototiller 14'</t>
  </si>
  <si>
    <t>Lister 20'</t>
  </si>
  <si>
    <t>Cultivator 6'</t>
  </si>
  <si>
    <t>Cultivator 10'</t>
  </si>
  <si>
    <t>Cultivator 16'</t>
  </si>
  <si>
    <t>Nurse Tank</t>
  </si>
  <si>
    <t>Herbicide Sprayer 2 row</t>
  </si>
  <si>
    <t>Herbicide Sprayer 3 row</t>
  </si>
  <si>
    <t>Herbicide Sprayer 8 row</t>
  </si>
  <si>
    <t>25 hp tractor</t>
  </si>
  <si>
    <t>34 hp tractor</t>
  </si>
  <si>
    <t>35 hp tractor</t>
  </si>
  <si>
    <t>40 hp tractor</t>
  </si>
  <si>
    <t>55 hp tractor</t>
  </si>
  <si>
    <t>60 hp tractor</t>
  </si>
  <si>
    <t>70 hp tractor</t>
  </si>
  <si>
    <t>75 hp tractor</t>
  </si>
  <si>
    <t>80 hp tractor</t>
  </si>
  <si>
    <t>85 hp tractor</t>
  </si>
  <si>
    <t>95 hp tractor</t>
  </si>
  <si>
    <t>110 hp tractor</t>
  </si>
  <si>
    <t>125 hp tractor</t>
  </si>
  <si>
    <t>130 hp tractor</t>
  </si>
  <si>
    <t>140 hp tractor</t>
  </si>
  <si>
    <t>150 hp tractor</t>
  </si>
  <si>
    <t>160 hp tractor</t>
  </si>
  <si>
    <t>170 hp tractor</t>
  </si>
  <si>
    <t>Motorgrader</t>
  </si>
  <si>
    <t>Highboy Tractor</t>
  </si>
  <si>
    <t>Crawler Tractor</t>
  </si>
  <si>
    <t>225 hp tractor</t>
  </si>
  <si>
    <t>320 hp tractor</t>
  </si>
  <si>
    <t>325 hp tractor</t>
  </si>
  <si>
    <t>Cabbage Cart</t>
  </si>
  <si>
    <t>Granular Hopper</t>
  </si>
  <si>
    <t>Seeds/Transplants</t>
  </si>
  <si>
    <t>Tractor 130 HP</t>
  </si>
  <si>
    <t>Machinery Costs for Calculating Your Budget with a 130 hp Tractor</t>
  </si>
  <si>
    <t>Methyl Bromide 50/50</t>
  </si>
  <si>
    <t>IFAS Estimated Machinery Costs in the SW Tomato Comparitive Budget</t>
  </si>
  <si>
    <t>LIST-YEAR</t>
  </si>
  <si>
    <t>Revised</t>
  </si>
  <si>
    <t>LIST</t>
  </si>
  <si>
    <t>BALER/FORAGE HARVESTER</t>
  </si>
  <si>
    <t>CHISEL PLOW</t>
  </si>
  <si>
    <t>DISCS</t>
  </si>
  <si>
    <t>FERTILIZER SPREADERS</t>
  </si>
  <si>
    <t>FORAGE HARVESTERS</t>
  </si>
  <si>
    <t>MOLDBOARD PLOWS</t>
  </si>
  <si>
    <t>MOWERS</t>
  </si>
  <si>
    <t>OTHER / MISCELLANEOUS</t>
  </si>
  <si>
    <t>PLANTERS-DRILLS</t>
  </si>
  <si>
    <t>ROTARY HOES / CHOPPERS</t>
  </si>
  <si>
    <t>ROTARY TILLER</t>
  </si>
  <si>
    <t>ROW CULTIVATORS</t>
  </si>
  <si>
    <t>SPRAYERS</t>
  </si>
  <si>
    <t>TRACTORS-2WD</t>
  </si>
  <si>
    <t>TRACTORS-4WD</t>
  </si>
  <si>
    <t>WAGONS</t>
  </si>
  <si>
    <t xml:space="preserve">Tractor Labor Cost/Hr </t>
  </si>
  <si>
    <t>Quantity/Acre</t>
  </si>
  <si>
    <t>Mile</t>
  </si>
  <si>
    <t>plants</t>
  </si>
  <si>
    <t>Pic-Clor 60</t>
  </si>
  <si>
    <t>Venom</t>
  </si>
  <si>
    <t>Coregan</t>
  </si>
  <si>
    <t>oz</t>
  </si>
  <si>
    <t>Fulfill</t>
  </si>
  <si>
    <t>Avaunt</t>
  </si>
  <si>
    <t>Malathion</t>
  </si>
  <si>
    <t>pt</t>
  </si>
  <si>
    <t>Radiant</t>
  </si>
  <si>
    <t>Agrimek</t>
  </si>
  <si>
    <t>Pyrethroids (Hero/Baythroid)</t>
  </si>
  <si>
    <t>Brigade</t>
  </si>
  <si>
    <t>Movento</t>
  </si>
  <si>
    <t>Xentari</t>
  </si>
  <si>
    <t>M-Pede</t>
  </si>
  <si>
    <t>Oberon</t>
  </si>
  <si>
    <t>Actigard</t>
  </si>
  <si>
    <t>Kocide 3000</t>
  </si>
  <si>
    <t>Manzate</t>
  </si>
  <si>
    <t>Bravo Weather Stik</t>
  </si>
  <si>
    <t>Fontelis</t>
  </si>
  <si>
    <t>Priaxor</t>
  </si>
  <si>
    <t>Inspire Super</t>
  </si>
  <si>
    <t>Tanos</t>
  </si>
  <si>
    <t>Scala</t>
  </si>
  <si>
    <t>Curzate</t>
  </si>
  <si>
    <t>Previcur Flex</t>
  </si>
  <si>
    <t>Presidio</t>
  </si>
  <si>
    <t>Revus Top</t>
  </si>
  <si>
    <t>Glyphodate</t>
  </si>
  <si>
    <t>qt</t>
  </si>
  <si>
    <t>Crop oil</t>
  </si>
  <si>
    <t>Roundup</t>
  </si>
  <si>
    <t>Dual Magnum</t>
  </si>
  <si>
    <t>Aim</t>
  </si>
  <si>
    <t>Select Max/Arrow</t>
  </si>
  <si>
    <t>Sencor</t>
  </si>
  <si>
    <t>Crop Oil</t>
  </si>
  <si>
    <t>Fertilizer Distributor (1 row)</t>
  </si>
  <si>
    <t>Broadcast Spreader (20 ft)</t>
  </si>
  <si>
    <t>1-Row Transplanter</t>
  </si>
  <si>
    <t>3-Row Herbicide Sprayer</t>
  </si>
  <si>
    <t>Stake Puller (3-row)</t>
  </si>
  <si>
    <t>Burner (18 ft)</t>
  </si>
  <si>
    <t>Stake Driver (6-row)</t>
  </si>
  <si>
    <t>Bed Press (1-row)</t>
  </si>
  <si>
    <t>Plastic Machine (1-row)</t>
  </si>
  <si>
    <t>Fumigator (1-row)</t>
  </si>
  <si>
    <t>Leveler (14 ft)</t>
  </si>
  <si>
    <t>Heavy Disc (13 ft)</t>
  </si>
  <si>
    <t>Diesel Pump 100hp</t>
  </si>
  <si>
    <t>cartons</t>
  </si>
  <si>
    <t>Drip tube</t>
  </si>
  <si>
    <t>Dumpster contract</t>
  </si>
  <si>
    <t>Comments</t>
  </si>
  <si>
    <t>Tomato Planter 3 row</t>
  </si>
  <si>
    <t>Superbedder (3-row)</t>
  </si>
  <si>
    <t>fixed</t>
  </si>
  <si>
    <t>variable</t>
  </si>
  <si>
    <t>Elevator</t>
  </si>
  <si>
    <t>Tractors and Equipment- operation and maintenance</t>
  </si>
  <si>
    <t>Fumigant and nematicide</t>
  </si>
  <si>
    <t>Tomatoes in the Southwest Area, 2019-20</t>
  </si>
  <si>
    <t>String Disposal</t>
  </si>
  <si>
    <t>Fertilizer, Mixed and Lime</t>
  </si>
  <si>
    <t>Transplants (cost of seed and growing transplants)</t>
  </si>
  <si>
    <t>General Farm Labor (does not include harvesting)</t>
  </si>
  <si>
    <t>Name</t>
  </si>
  <si>
    <t>Cost/Acre</t>
  </si>
  <si>
    <t>Estimated Costs of Producing One Acre with Your Estimates for Comparison.</t>
  </si>
  <si>
    <t>Estimated Yield</t>
  </si>
  <si>
    <t>$/carton</t>
  </si>
  <si>
    <t>Your Budget</t>
  </si>
  <si>
    <t>Your Insecticides and Nematicides</t>
  </si>
  <si>
    <t>Your Fumigants</t>
  </si>
  <si>
    <t>MACH0809</t>
  </si>
  <si>
    <t>Description</t>
  </si>
  <si>
    <t xml:space="preserve"> 2008-09 Machinery Costs per hour (Base Year)</t>
  </si>
  <si>
    <r>
      <rPr>
        <vertAlign val="superscript"/>
        <sz val="10"/>
        <rFont val="Arial"/>
        <family val="2"/>
      </rPr>
      <t>1</t>
    </r>
    <r>
      <rPr>
        <sz val="10"/>
        <rFont val="Arial"/>
        <family val="2"/>
      </rPr>
      <t xml:space="preserve">University of Florida- IFAS Food and Resource Economics Department </t>
    </r>
    <r>
      <rPr>
        <vertAlign val="superscript"/>
        <sz val="10"/>
        <rFont val="Arial"/>
        <family val="2"/>
      </rPr>
      <t>2</t>
    </r>
    <r>
      <rPr>
        <sz val="10"/>
        <rFont val="Arial"/>
        <family val="2"/>
      </rPr>
      <t>University of Florida- IFAS Southwest Florida Research and Education Center</t>
    </r>
  </si>
  <si>
    <t>Equipment</t>
  </si>
  <si>
    <t>FRED Budget</t>
  </si>
  <si>
    <t>Blue cells cannot be altered by user. These cells are updated from corresponding worksheets.</t>
  </si>
  <si>
    <t>Dumpster Contract</t>
  </si>
  <si>
    <t>Drip Tube</t>
  </si>
  <si>
    <r>
      <t xml:space="preserve">Blue cells cannot be altered by user. These cells are linked to other spreadsheets. </t>
    </r>
    <r>
      <rPr>
        <b/>
        <sz val="11"/>
        <color indexed="10"/>
        <rFont val="Arial"/>
        <family val="2"/>
      </rPr>
      <t>Orange cells allow your input.</t>
    </r>
  </si>
  <si>
    <t>Worksheet Tab</t>
  </si>
  <si>
    <t>Orange cells permit user input. These cells are for you to enter your information.</t>
  </si>
  <si>
    <t>MC-35hp - MC- MiscEquip</t>
  </si>
  <si>
    <r>
      <t>Tara Wade</t>
    </r>
    <r>
      <rPr>
        <b/>
        <vertAlign val="superscript"/>
        <sz val="12"/>
        <rFont val="Arial"/>
        <family val="2"/>
      </rPr>
      <t>1,2</t>
    </r>
    <r>
      <rPr>
        <b/>
        <sz val="12"/>
        <rFont val="Arial"/>
        <family val="2"/>
      </rPr>
      <t>, Barbara Hyman</t>
    </r>
    <r>
      <rPr>
        <b/>
        <vertAlign val="superscript"/>
        <sz val="12"/>
        <rFont val="Arial"/>
        <family val="2"/>
      </rPr>
      <t>2</t>
    </r>
    <r>
      <rPr>
        <b/>
        <sz val="12"/>
        <rFont val="Arial"/>
        <family val="2"/>
      </rPr>
      <t>, Eugene McAvoy</t>
    </r>
    <r>
      <rPr>
        <b/>
        <vertAlign val="superscript"/>
        <sz val="12"/>
        <rFont val="Arial"/>
        <family val="2"/>
      </rPr>
      <t>2</t>
    </r>
    <r>
      <rPr>
        <b/>
        <sz val="12"/>
        <rFont val="Arial"/>
        <family val="2"/>
      </rPr>
      <t>, and John Vansickle</t>
    </r>
    <r>
      <rPr>
        <b/>
        <vertAlign val="superscript"/>
        <sz val="12"/>
        <rFont val="Arial"/>
        <family val="2"/>
      </rPr>
      <t>1</t>
    </r>
  </si>
  <si>
    <t>For further information, please contact Tara Wade (tara.wade@ufl.edu or 239-658-3444) or Barbara Hyman (hymanb@ufl.edu or 239-658-3461)</t>
  </si>
  <si>
    <t>*Data in this table cannot be changed nor modified. It is provided for the purpose of itemizing the data used to report tractor and equipment costs in the comparative budget.</t>
  </si>
  <si>
    <t>2019 coeffients (base '08-'09)</t>
  </si>
  <si>
    <t xml:space="preserve">This represents the average for 2019.  </t>
  </si>
  <si>
    <t xml:space="preserve"> Machinery Costs per hour 2019-20. (base year '08-'09)</t>
  </si>
  <si>
    <t>Herbicide Costs for Calculating Your Budget</t>
  </si>
  <si>
    <t>Fungicide Costs for Calculating Your Budget</t>
  </si>
  <si>
    <t>Insecticide Costs for Calculating Your Budget</t>
  </si>
  <si>
    <t>Fumigant Costs for Calculating Your Budget</t>
  </si>
  <si>
    <t>MACH1920</t>
  </si>
  <si>
    <t>This spreadsheet contains the eqiupment costs for 2008-2009.  These represent the variable and fixed costs for the equipment and implements used in agriculture production.  These numbers are used in the updates in the MACH1920 spreadsheet.</t>
  </si>
  <si>
    <t>SW Florida Peppers 2019/20</t>
  </si>
  <si>
    <t>2020 Southwest Florida Pepper Enterprise Budget</t>
  </si>
  <si>
    <t>This spreadsheet allows you to compare your budget to a benchmark budget created by IFAS.   The benchmark budget costs come from the  "equipment" spreadsheet and costs obtained through growers, other university budgets, and contacts from industry sales reps. "Your Budget" is carried over here from the "Your Budget" worksheet and allows you to see your numbers compared to the benchmark budget.</t>
  </si>
  <si>
    <t>In this spreadsheet you may input your actual costs that you incur.  You may enter your numbers in the orange cells.  These numbers are linked with the FRED Budget spreadsheet.</t>
  </si>
  <si>
    <t>These worksheet tabs represent machinery costs (MC).  The orange cells are for your input of any implements that you may use with that tractor in your pepper production.</t>
  </si>
  <si>
    <t>The orange cells are the herbicides that are suggested in the UF/IFAS Vegetable Production Handbook of Florida.  You can add additional trade names you may use in your production. The price per unit is the 2019 prices obtained from different company sales reps.</t>
  </si>
  <si>
    <t>The orange cells are the fungicides that are suggested in the UF/IFAS Vegetable Production Handbook of Florida.  You can add additional trade names you may use in your production. The price per unit is the 2019 prices obtained from different company sales reps.</t>
  </si>
  <si>
    <t>The orange cells are the insecticides and nematicides that are suggested in the UF/IFAS Vegetable Production Handbook of Florida.  You can add additional trade names you may use in your production. The price per unit is the 2019 prices obtained from different company sales reps.</t>
  </si>
  <si>
    <t>The orange cells are the fumigants that are suggested in the UF/IFAS Vegetable Production Handbook of Florida.  You can add additional trade names  you may use in your production. The price per unit is the 2019 prices obtained from different company sales reps.</t>
  </si>
  <si>
    <t>This spreadsheet contains the calculated variable and fixed costs for equipment and implements for 2019/2020 season.  The Variable costs are calculated by comparing current equipment costs with those in the 2008-2009 budget.  An average cost is used. The fixed cost is an average of the monthly PPI for peppers for the year 2019. These are used in the calculations for "Your Budget".</t>
  </si>
  <si>
    <t>The costs shown in this spreadsheet are for use in the FRED budget only.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</si>
</sst>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
    <numFmt numFmtId="168" formatCode="0.000000"/>
    <numFmt numFmtId="169" formatCode="&quot;$&quot;#,##0.00"/>
    <numFmt numFmtId="170" formatCode="&quot;$&quot;#,##0.0000"/>
    <numFmt numFmtId="171" formatCode="&quot;$&quot;#,##0"/>
    <numFmt numFmtId="172" formatCode="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409]h:mm:ss\ AM/PM"/>
    <numFmt numFmtId="179" formatCode="#,##0.0"/>
    <numFmt numFmtId="180" formatCode="&quot;$&quot;#,##0.000"/>
    <numFmt numFmtId="181" formatCode="&quot;$&quot;#,##0.000_);[Red]\(&quot;$&quot;#,##0.000\)"/>
    <numFmt numFmtId="182" formatCode="&quot;$&quot;#,##0.0_);[Red]\(&quot;$&quot;#,##0.0\)"/>
    <numFmt numFmtId="183" formatCode="_(&quot;$&quot;* #,##0.000_);_(&quot;$&quot;* \(#,##0.000\);_(&quot;$&quot;* &quot;-&quot;??_);_(@_)"/>
    <numFmt numFmtId="184" formatCode="_(* #,##0.0_);_(* \(#,##0.0\);_(* &quot;-&quot;??_);_(@_)"/>
    <numFmt numFmtId="185" formatCode="_(* #,##0.000_);_(* \(#,##0.000\);_(* &quot;-&quot;??_);_(@_)"/>
    <numFmt numFmtId="186" formatCode="0.0000000"/>
    <numFmt numFmtId="187" formatCode="0.00000000"/>
    <numFmt numFmtId="188" formatCode="0.0%"/>
    <numFmt numFmtId="189" formatCode="_(&quot;$&quot;* #,##0.0000_);_(&quot;$&quot;* \(#,##0.0000\);_(&quot;$&quot;* &quot;-&quot;??_);_(@_)"/>
    <numFmt numFmtId="190" formatCode="&quot;$&quot;#,##0.0"/>
    <numFmt numFmtId="191" formatCode="_(* #,##0_);_(* \(#,##0\);_(* &quot;-&quot;??_);_(@_)"/>
    <numFmt numFmtId="192" formatCode="[$-409]dddd\,\ mmmm\ d\,\ yyyy"/>
  </numFmts>
  <fonts count="70">
    <font>
      <sz val="10"/>
      <name val="Arial"/>
      <family val="0"/>
    </font>
    <font>
      <b/>
      <sz val="12"/>
      <name val="Arial"/>
      <family val="2"/>
    </font>
    <font>
      <b/>
      <sz val="10"/>
      <name val="Arial"/>
      <family val="2"/>
    </font>
    <font>
      <b/>
      <sz val="12"/>
      <color indexed="9"/>
      <name val="Arial"/>
      <family val="2"/>
    </font>
    <font>
      <sz val="11"/>
      <name val="Arial"/>
      <family val="2"/>
    </font>
    <font>
      <sz val="10"/>
      <color indexed="9"/>
      <name val="Arial"/>
      <family val="2"/>
    </font>
    <font>
      <sz val="8"/>
      <name val="Arial"/>
      <family val="2"/>
    </font>
    <font>
      <b/>
      <sz val="10"/>
      <color indexed="9"/>
      <name val="Arial"/>
      <family val="2"/>
    </font>
    <font>
      <b/>
      <u val="single"/>
      <sz val="12"/>
      <color indexed="9"/>
      <name val="Arial"/>
      <family val="2"/>
    </font>
    <font>
      <b/>
      <sz val="11"/>
      <color indexed="9"/>
      <name val="Arial"/>
      <family val="2"/>
    </font>
    <font>
      <b/>
      <u val="single"/>
      <sz val="10"/>
      <color indexed="9"/>
      <name val="Arial"/>
      <family val="2"/>
    </font>
    <font>
      <b/>
      <u val="single"/>
      <sz val="11"/>
      <color indexed="9"/>
      <name val="Arial"/>
      <family val="2"/>
    </font>
    <font>
      <u val="single"/>
      <sz val="10"/>
      <name val="Arial"/>
      <family val="2"/>
    </font>
    <font>
      <b/>
      <sz val="10"/>
      <color indexed="12"/>
      <name val="Arial"/>
      <family val="2"/>
    </font>
    <font>
      <b/>
      <sz val="10"/>
      <color indexed="53"/>
      <name val="Arial"/>
      <family val="2"/>
    </font>
    <font>
      <i/>
      <sz val="10"/>
      <name val="Arial"/>
      <family val="2"/>
    </font>
    <font>
      <sz val="11"/>
      <color indexed="8"/>
      <name val="Calibri"/>
      <family val="2"/>
    </font>
    <font>
      <b/>
      <sz val="11"/>
      <color indexed="12"/>
      <name val="Arial"/>
      <family val="2"/>
    </font>
    <font>
      <b/>
      <sz val="11"/>
      <color indexed="53"/>
      <name val="Arial"/>
      <family val="2"/>
    </font>
    <font>
      <b/>
      <sz val="11"/>
      <name val="Arial"/>
      <family val="2"/>
    </font>
    <font>
      <u val="single"/>
      <sz val="10"/>
      <color indexed="9"/>
      <name val="Arial"/>
      <family val="2"/>
    </font>
    <font>
      <b/>
      <i/>
      <sz val="11"/>
      <color indexed="53"/>
      <name val="Arial"/>
      <family val="2"/>
    </font>
    <font>
      <sz val="12"/>
      <name val="Arial"/>
      <family val="2"/>
    </font>
    <font>
      <b/>
      <u val="single"/>
      <sz val="12"/>
      <name val="Arial"/>
      <family val="2"/>
    </font>
    <font>
      <b/>
      <i/>
      <sz val="12"/>
      <name val="Arial"/>
      <family val="2"/>
    </font>
    <font>
      <vertAlign val="superscript"/>
      <sz val="10"/>
      <name val="Arial"/>
      <family val="2"/>
    </font>
    <font>
      <b/>
      <sz val="11"/>
      <color indexed="10"/>
      <name val="Arial"/>
      <family val="2"/>
    </font>
    <font>
      <b/>
      <u val="single"/>
      <sz val="14"/>
      <color indexed="9"/>
      <name val="Arial"/>
      <family val="2"/>
    </font>
    <font>
      <b/>
      <vertAlign val="superscript"/>
      <sz val="12"/>
      <name val="Arial"/>
      <family val="2"/>
    </font>
    <font>
      <b/>
      <u val="single"/>
      <sz val="18"/>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2"/>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2"/>
        <bgColor indexed="64"/>
      </patternFill>
    </fill>
    <fill>
      <patternFill patternType="solid">
        <fgColor indexed="53"/>
        <bgColor indexed="64"/>
      </patternFill>
    </fill>
    <fill>
      <patternFill patternType="solid">
        <fgColor indexed="10"/>
        <bgColor indexed="64"/>
      </patternFill>
    </fill>
    <fill>
      <patternFill patternType="solid">
        <fgColor indexed="9"/>
        <bgColor indexed="64"/>
      </patternFill>
    </fill>
    <fill>
      <patternFill patternType="solid">
        <fgColor rgb="FF7030A0"/>
        <bgColor indexed="64"/>
      </patternFill>
    </fill>
    <fill>
      <patternFill patternType="solid">
        <fgColor rgb="FFC00000"/>
        <bgColor indexed="64"/>
      </patternFill>
    </fill>
    <fill>
      <patternFill patternType="solid">
        <fgColor theme="3" tint="0.39998000860214233"/>
        <bgColor indexed="64"/>
      </patternFill>
    </fill>
    <fill>
      <patternFill patternType="solid">
        <fgColor rgb="FF0000FF"/>
        <bgColor indexed="64"/>
      </patternFill>
    </fill>
    <fill>
      <patternFill patternType="solid">
        <fgColor rgb="FFFFFF00"/>
        <bgColor indexed="64"/>
      </patternFill>
    </fill>
    <fill>
      <patternFill patternType="solid">
        <fgColor rgb="FFFFC000"/>
        <bgColor indexed="64"/>
      </patternFill>
    </fill>
    <fill>
      <patternFill patternType="solid">
        <fgColor rgb="FFFF66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ck">
        <color indexed="12"/>
      </left>
      <right style="thick">
        <color indexed="12"/>
      </right>
      <top style="thick">
        <color indexed="12"/>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ck">
        <color indexed="12"/>
      </right>
      <top style="thick">
        <color indexed="12"/>
      </top>
      <bottom style="thick">
        <color indexed="12"/>
      </bottom>
    </border>
    <border>
      <left style="thin"/>
      <right style="thin"/>
      <top>
        <color indexed="63"/>
      </top>
      <bottom style="thin"/>
    </border>
    <border>
      <left style="thick">
        <color indexed="12"/>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16" fillId="33" borderId="8" applyNumberFormat="0" applyFont="0" applyAlignment="0" applyProtection="0"/>
    <xf numFmtId="0" fontId="64" fillId="27" borderId="9"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cellStyleXfs>
  <cellXfs count="46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2" fontId="1" fillId="0" borderId="0" xfId="0" applyNumberFormat="1" applyFont="1" applyAlignment="1">
      <alignment horizontal="right"/>
    </xf>
    <xf numFmtId="0" fontId="7" fillId="34" borderId="0" xfId="0" applyFont="1" applyFill="1" applyAlignment="1">
      <alignment/>
    </xf>
    <xf numFmtId="169" fontId="7" fillId="34" borderId="11" xfId="0" applyNumberFormat="1" applyFont="1" applyFill="1" applyBorder="1" applyAlignment="1">
      <alignment horizontal="right"/>
    </xf>
    <xf numFmtId="169" fontId="7" fillId="34" borderId="11" xfId="0" applyNumberFormat="1" applyFont="1" applyFill="1" applyBorder="1" applyAlignment="1">
      <alignment/>
    </xf>
    <xf numFmtId="2" fontId="7" fillId="34" borderId="11" xfId="0" applyNumberFormat="1" applyFont="1" applyFill="1" applyBorder="1" applyAlignment="1">
      <alignment/>
    </xf>
    <xf numFmtId="0" fontId="7" fillId="34" borderId="11" xfId="0" applyFont="1" applyFill="1" applyBorder="1" applyAlignment="1">
      <alignment/>
    </xf>
    <xf numFmtId="0" fontId="9" fillId="34" borderId="11" xfId="0" applyFont="1" applyFill="1" applyBorder="1" applyAlignment="1">
      <alignment/>
    </xf>
    <xf numFmtId="0" fontId="0" fillId="34" borderId="11" xfId="0" applyFill="1" applyBorder="1" applyAlignment="1">
      <alignment/>
    </xf>
    <xf numFmtId="0" fontId="7" fillId="34" borderId="11" xfId="0" applyFont="1" applyFill="1" applyBorder="1" applyAlignment="1">
      <alignment horizontal="right"/>
    </xf>
    <xf numFmtId="2" fontId="7" fillId="34" borderId="11" xfId="0" applyNumberFormat="1" applyFont="1" applyFill="1" applyBorder="1" applyAlignment="1">
      <alignment horizontal="right"/>
    </xf>
    <xf numFmtId="169" fontId="2" fillId="34" borderId="11" xfId="0" applyNumberFormat="1" applyFont="1" applyFill="1" applyBorder="1" applyAlignment="1">
      <alignment horizontal="right"/>
    </xf>
    <xf numFmtId="169" fontId="10" fillId="34" borderId="11" xfId="0" applyNumberFormat="1" applyFont="1" applyFill="1" applyBorder="1" applyAlignment="1">
      <alignment horizontal="right"/>
    </xf>
    <xf numFmtId="0" fontId="2" fillId="34" borderId="11" xfId="0" applyFont="1" applyFill="1" applyBorder="1" applyAlignment="1">
      <alignment horizontal="right"/>
    </xf>
    <xf numFmtId="2" fontId="2" fillId="34" borderId="11" xfId="0" applyNumberFormat="1" applyFont="1" applyFill="1" applyBorder="1" applyAlignment="1">
      <alignment horizontal="right"/>
    </xf>
    <xf numFmtId="0" fontId="7" fillId="35" borderId="11" xfId="0" applyFont="1" applyFill="1" applyBorder="1" applyAlignment="1" applyProtection="1">
      <alignment horizontal="right"/>
      <protection locked="0"/>
    </xf>
    <xf numFmtId="2" fontId="7" fillId="35" borderId="11" xfId="0" applyNumberFormat="1" applyFont="1" applyFill="1" applyBorder="1" applyAlignment="1" applyProtection="1">
      <alignment horizontal="right"/>
      <protection locked="0"/>
    </xf>
    <xf numFmtId="169" fontId="7" fillId="35" borderId="11" xfId="0" applyNumberFormat="1" applyFont="1" applyFill="1" applyBorder="1" applyAlignment="1" applyProtection="1">
      <alignment horizontal="right"/>
      <protection locked="0"/>
    </xf>
    <xf numFmtId="0" fontId="7" fillId="35" borderId="11" xfId="0" applyFont="1" applyFill="1" applyBorder="1" applyAlignment="1" applyProtection="1">
      <alignment/>
      <protection locked="0"/>
    </xf>
    <xf numFmtId="0" fontId="7" fillId="34" borderId="11" xfId="0" applyFont="1" applyFill="1" applyBorder="1" applyAlignment="1">
      <alignment horizontal="left"/>
    </xf>
    <xf numFmtId="0" fontId="9" fillId="34" borderId="11" xfId="0" applyFont="1" applyFill="1" applyBorder="1" applyAlignment="1">
      <alignment horizontal="center"/>
    </xf>
    <xf numFmtId="10" fontId="7" fillId="34" borderId="11" xfId="0" applyNumberFormat="1" applyFont="1" applyFill="1" applyBorder="1" applyAlignment="1">
      <alignment horizontal="right"/>
    </xf>
    <xf numFmtId="4" fontId="7" fillId="35" borderId="12" xfId="0" applyNumberFormat="1" applyFont="1" applyFill="1" applyBorder="1" applyAlignment="1" applyProtection="1">
      <alignment horizontal="center"/>
      <protection locked="0"/>
    </xf>
    <xf numFmtId="4" fontId="7" fillId="35" borderId="12" xfId="0" applyNumberFormat="1" applyFont="1" applyFill="1" applyBorder="1" applyAlignment="1" applyProtection="1" quotePrefix="1">
      <alignment horizontal="center"/>
      <protection locked="0"/>
    </xf>
    <xf numFmtId="0" fontId="9" fillId="35" borderId="11" xfId="0" applyFont="1" applyFill="1" applyBorder="1" applyAlignment="1" applyProtection="1">
      <alignment/>
      <protection locked="0"/>
    </xf>
    <xf numFmtId="0" fontId="7" fillId="35" borderId="11" xfId="0" applyFont="1" applyFill="1" applyBorder="1" applyAlignment="1" applyProtection="1">
      <alignment horizontal="center"/>
      <protection locked="0"/>
    </xf>
    <xf numFmtId="169" fontId="7" fillId="35" borderId="11" xfId="0" applyNumberFormat="1" applyFont="1" applyFill="1" applyBorder="1" applyAlignment="1" applyProtection="1">
      <alignment/>
      <protection locked="0"/>
    </xf>
    <xf numFmtId="2" fontId="7" fillId="35" borderId="11" xfId="0" applyNumberFormat="1" applyFont="1" applyFill="1" applyBorder="1" applyAlignment="1" applyProtection="1">
      <alignment horizontal="center"/>
      <protection locked="0"/>
    </xf>
    <xf numFmtId="4" fontId="7" fillId="35" borderId="11" xfId="0" applyNumberFormat="1" applyFont="1" applyFill="1" applyBorder="1" applyAlignment="1" applyProtection="1">
      <alignment horizontal="right"/>
      <protection locked="0"/>
    </xf>
    <xf numFmtId="2" fontId="7" fillId="35" borderId="11" xfId="0" applyNumberFormat="1" applyFont="1" applyFill="1" applyBorder="1" applyAlignment="1" applyProtection="1">
      <alignment/>
      <protection locked="0"/>
    </xf>
    <xf numFmtId="0" fontId="7" fillId="35" borderId="11" xfId="0" applyFont="1" applyFill="1" applyBorder="1" applyAlignment="1" applyProtection="1">
      <alignment horizontal="center"/>
      <protection locked="0"/>
    </xf>
    <xf numFmtId="169" fontId="10" fillId="34" borderId="11" xfId="0" applyNumberFormat="1" applyFont="1" applyFill="1" applyBorder="1" applyAlignment="1">
      <alignment/>
    </xf>
    <xf numFmtId="0" fontId="7" fillId="34" borderId="11" xfId="0" applyFont="1" applyFill="1" applyBorder="1" applyAlignment="1">
      <alignment wrapText="1"/>
    </xf>
    <xf numFmtId="0" fontId="11" fillId="34" borderId="11" xfId="0" applyFont="1" applyFill="1" applyBorder="1" applyAlignment="1">
      <alignment/>
    </xf>
    <xf numFmtId="0" fontId="0" fillId="34" borderId="13" xfId="0" applyFill="1" applyBorder="1" applyAlignment="1">
      <alignment wrapText="1"/>
    </xf>
    <xf numFmtId="3" fontId="7" fillId="34" borderId="11" xfId="0" applyNumberFormat="1" applyFont="1" applyFill="1" applyBorder="1" applyAlignment="1">
      <alignment horizontal="right"/>
    </xf>
    <xf numFmtId="3" fontId="7" fillId="34" borderId="11" xfId="0" applyNumberFormat="1" applyFont="1" applyFill="1" applyBorder="1" applyAlignment="1">
      <alignment horizontal="center"/>
    </xf>
    <xf numFmtId="3" fontId="7" fillId="35" borderId="11" xfId="0" applyNumberFormat="1" applyFont="1" applyFill="1" applyBorder="1" applyAlignment="1" applyProtection="1">
      <alignment horizontal="right"/>
      <protection locked="0"/>
    </xf>
    <xf numFmtId="0" fontId="7" fillId="35" borderId="11" xfId="0" applyFont="1" applyFill="1" applyBorder="1" applyAlignment="1">
      <alignment/>
    </xf>
    <xf numFmtId="49" fontId="7" fillId="34" borderId="11" xfId="0" applyNumberFormat="1" applyFont="1" applyFill="1" applyBorder="1" applyAlignment="1" applyProtection="1">
      <alignment/>
      <protection locked="0"/>
    </xf>
    <xf numFmtId="9" fontId="7" fillId="35" borderId="11" xfId="0" applyNumberFormat="1" applyFont="1" applyFill="1" applyBorder="1" applyAlignment="1" applyProtection="1">
      <alignment horizontal="right"/>
      <protection locked="0"/>
    </xf>
    <xf numFmtId="0" fontId="9" fillId="35" borderId="11" xfId="0" applyFont="1" applyFill="1" applyBorder="1" applyAlignment="1">
      <alignment/>
    </xf>
    <xf numFmtId="169" fontId="10" fillId="34" borderId="11" xfId="0" applyNumberFormat="1" applyFont="1" applyFill="1" applyBorder="1" applyAlignment="1">
      <alignment horizontal="right" vertical="center"/>
    </xf>
    <xf numFmtId="3" fontId="7" fillId="34" borderId="11" xfId="0" applyNumberFormat="1" applyFont="1" applyFill="1" applyBorder="1" applyAlignment="1">
      <alignment horizontal="right" vertical="center"/>
    </xf>
    <xf numFmtId="169" fontId="10" fillId="34" borderId="11" xfId="0" applyNumberFormat="1" applyFont="1" applyFill="1" applyBorder="1" applyAlignment="1">
      <alignment vertical="center"/>
    </xf>
    <xf numFmtId="0" fontId="7" fillId="34" borderId="11" xfId="0" applyFont="1" applyFill="1" applyBorder="1" applyAlignment="1">
      <alignment horizontal="right" vertical="center"/>
    </xf>
    <xf numFmtId="169" fontId="7" fillId="34" borderId="11" xfId="0" applyNumberFormat="1" applyFont="1" applyFill="1" applyBorder="1" applyAlignment="1">
      <alignment horizontal="right" vertical="center"/>
    </xf>
    <xf numFmtId="3" fontId="10" fillId="34" borderId="11" xfId="0" applyNumberFormat="1" applyFont="1" applyFill="1" applyBorder="1" applyAlignment="1">
      <alignment horizontal="right" vertical="center"/>
    </xf>
    <xf numFmtId="0" fontId="12" fillId="0" borderId="14" xfId="0" applyFont="1" applyBorder="1" applyAlignment="1">
      <alignment wrapText="1"/>
    </xf>
    <xf numFmtId="0" fontId="12" fillId="0" borderId="0" xfId="0" applyFont="1" applyAlignment="1">
      <alignment wrapText="1"/>
    </xf>
    <xf numFmtId="169" fontId="7" fillId="34" borderId="15" xfId="0" applyNumberFormat="1" applyFont="1" applyFill="1" applyBorder="1" applyAlignment="1">
      <alignment horizontal="right"/>
    </xf>
    <xf numFmtId="169" fontId="10" fillId="34" borderId="15" xfId="0" applyNumberFormat="1" applyFont="1" applyFill="1" applyBorder="1" applyAlignment="1">
      <alignment horizontal="right" vertical="center"/>
    </xf>
    <xf numFmtId="169" fontId="10" fillId="34" borderId="15" xfId="0" applyNumberFormat="1" applyFont="1" applyFill="1" applyBorder="1" applyAlignment="1">
      <alignment horizontal="right"/>
    </xf>
    <xf numFmtId="169" fontId="7" fillId="34" borderId="0" xfId="0" applyNumberFormat="1" applyFont="1" applyFill="1" applyAlignment="1">
      <alignment/>
    </xf>
    <xf numFmtId="0" fontId="0" fillId="34" borderId="0" xfId="0" applyFill="1" applyAlignment="1">
      <alignment/>
    </xf>
    <xf numFmtId="169" fontId="10" fillId="34" borderId="0" xfId="0" applyNumberFormat="1" applyFont="1" applyFill="1" applyAlignment="1">
      <alignment/>
    </xf>
    <xf numFmtId="0" fontId="11" fillId="34" borderId="12" xfId="0" applyFont="1" applyFill="1" applyBorder="1" applyAlignment="1">
      <alignment horizontal="center" vertical="center"/>
    </xf>
    <xf numFmtId="0" fontId="0" fillId="0" borderId="0" xfId="0" applyAlignment="1">
      <alignment horizontal="center"/>
    </xf>
    <xf numFmtId="0" fontId="11" fillId="34" borderId="11" xfId="0" applyFont="1" applyFill="1" applyBorder="1" applyAlignment="1">
      <alignment horizontal="center" vertical="center"/>
    </xf>
    <xf numFmtId="0" fontId="7" fillId="34" borderId="12" xfId="0" applyFont="1" applyFill="1" applyBorder="1" applyAlignment="1">
      <alignment/>
    </xf>
    <xf numFmtId="2" fontId="7" fillId="35" borderId="13" xfId="0" applyNumberFormat="1" applyFont="1" applyFill="1" applyBorder="1" applyAlignment="1" applyProtection="1">
      <alignment horizontal="center"/>
      <protection locked="0"/>
    </xf>
    <xf numFmtId="169" fontId="7" fillId="34" borderId="12" xfId="0" applyNumberFormat="1" applyFont="1" applyFill="1" applyBorder="1" applyAlignment="1">
      <alignment horizontal="right"/>
    </xf>
    <xf numFmtId="2" fontId="7" fillId="34" borderId="11" xfId="0" applyNumberFormat="1" applyFont="1" applyFill="1" applyBorder="1" applyAlignment="1">
      <alignment horizontal="right" vertical="center"/>
    </xf>
    <xf numFmtId="169" fontId="12" fillId="34" borderId="14" xfId="0" applyNumberFormat="1" applyFont="1" applyFill="1" applyBorder="1" applyAlignment="1">
      <alignment horizontal="right" wrapText="1"/>
    </xf>
    <xf numFmtId="1" fontId="7" fillId="35" borderId="11" xfId="0" applyNumberFormat="1" applyFont="1" applyFill="1" applyBorder="1" applyAlignment="1" applyProtection="1">
      <alignment horizontal="right"/>
      <protection locked="0"/>
    </xf>
    <xf numFmtId="4" fontId="7" fillId="34" borderId="11" xfId="0" applyNumberFormat="1" applyFont="1" applyFill="1" applyBorder="1" applyAlignment="1">
      <alignment/>
    </xf>
    <xf numFmtId="0" fontId="7" fillId="34" borderId="11" xfId="0" applyFont="1" applyFill="1" applyBorder="1" applyAlignment="1" applyProtection="1">
      <alignment/>
      <protection locked="0"/>
    </xf>
    <xf numFmtId="3" fontId="7" fillId="35" borderId="11" xfId="0" applyNumberFormat="1" applyFont="1" applyFill="1" applyBorder="1" applyAlignment="1" applyProtection="1">
      <alignment/>
      <protection locked="0"/>
    </xf>
    <xf numFmtId="9" fontId="7" fillId="35" borderId="11" xfId="0" applyNumberFormat="1" applyFont="1" applyFill="1" applyBorder="1" applyAlignment="1" applyProtection="1">
      <alignment/>
      <protection locked="0"/>
    </xf>
    <xf numFmtId="0" fontId="7" fillId="34" borderId="16" xfId="0" applyFont="1" applyFill="1" applyBorder="1" applyAlignment="1">
      <alignment/>
    </xf>
    <xf numFmtId="169" fontId="7" fillId="34" borderId="12" xfId="0" applyNumberFormat="1" applyFont="1" applyFill="1" applyBorder="1" applyAlignment="1">
      <alignment/>
    </xf>
    <xf numFmtId="169" fontId="10" fillId="34" borderId="12" xfId="0" applyNumberFormat="1" applyFont="1" applyFill="1" applyBorder="1" applyAlignment="1">
      <alignment vertical="center"/>
    </xf>
    <xf numFmtId="169" fontId="10" fillId="34" borderId="12" xfId="0" applyNumberFormat="1" applyFont="1" applyFill="1" applyBorder="1" applyAlignment="1">
      <alignment/>
    </xf>
    <xf numFmtId="0" fontId="0" fillId="36" borderId="17" xfId="0" applyFill="1" applyBorder="1" applyAlignment="1">
      <alignment/>
    </xf>
    <xf numFmtId="169" fontId="7" fillId="34" borderId="18" xfId="0" applyNumberFormat="1" applyFont="1" applyFill="1" applyBorder="1" applyAlignment="1">
      <alignment horizontal="right"/>
    </xf>
    <xf numFmtId="0" fontId="7" fillId="35" borderId="12" xfId="0" applyFont="1" applyFill="1" applyBorder="1" applyAlignment="1" applyProtection="1">
      <alignment/>
      <protection locked="0"/>
    </xf>
    <xf numFmtId="4" fontId="7" fillId="35" borderId="11" xfId="0" applyNumberFormat="1" applyFont="1" applyFill="1" applyBorder="1" applyAlignment="1" applyProtection="1">
      <alignment/>
      <protection locked="0"/>
    </xf>
    <xf numFmtId="4" fontId="10" fillId="34" borderId="12" xfId="0" applyNumberFormat="1" applyFont="1" applyFill="1" applyBorder="1" applyAlignment="1" quotePrefix="1">
      <alignment horizontal="center" vertical="center"/>
    </xf>
    <xf numFmtId="169" fontId="7" fillId="35" borderId="13" xfId="0" applyNumberFormat="1" applyFont="1" applyFill="1" applyBorder="1" applyAlignment="1" applyProtection="1">
      <alignment/>
      <protection locked="0"/>
    </xf>
    <xf numFmtId="169" fontId="10" fillId="34" borderId="12" xfId="0" applyNumberFormat="1" applyFont="1" applyFill="1" applyBorder="1" applyAlignment="1">
      <alignment horizontal="right"/>
    </xf>
    <xf numFmtId="169" fontId="2" fillId="34" borderId="12" xfId="0" applyNumberFormat="1" applyFont="1" applyFill="1" applyBorder="1" applyAlignment="1">
      <alignment horizontal="right"/>
    </xf>
    <xf numFmtId="0" fontId="14" fillId="37" borderId="0" xfId="0" applyFont="1" applyFill="1" applyAlignment="1">
      <alignment vertical="center" wrapText="1"/>
    </xf>
    <xf numFmtId="0" fontId="13" fillId="37" borderId="0" xfId="0" applyFont="1" applyFill="1" applyAlignment="1">
      <alignment vertical="center"/>
    </xf>
    <xf numFmtId="0" fontId="3" fillId="34" borderId="0" xfId="0" applyFont="1" applyFill="1" applyAlignment="1">
      <alignment horizontal="center"/>
    </xf>
    <xf numFmtId="0" fontId="3" fillId="34" borderId="11" xfId="0" applyFont="1" applyFill="1" applyBorder="1" applyAlignment="1">
      <alignment/>
    </xf>
    <xf numFmtId="0" fontId="11" fillId="34" borderId="19" xfId="0" applyFont="1" applyFill="1" applyBorder="1" applyAlignment="1">
      <alignment horizontal="center" vertical="center" wrapText="1"/>
    </xf>
    <xf numFmtId="0" fontId="18" fillId="37" borderId="14" xfId="0" applyFont="1" applyFill="1" applyBorder="1" applyAlignment="1">
      <alignment horizontal="left" vertical="center" wrapText="1"/>
    </xf>
    <xf numFmtId="0" fontId="17" fillId="37" borderId="14" xfId="0" applyFont="1" applyFill="1" applyBorder="1" applyAlignment="1">
      <alignment vertical="center" wrapText="1"/>
    </xf>
    <xf numFmtId="0" fontId="18" fillId="37" borderId="14" xfId="0" applyFont="1" applyFill="1" applyBorder="1" applyAlignment="1">
      <alignment vertical="center"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20" xfId="0" applyFont="1" applyFill="1" applyBorder="1" applyAlignment="1">
      <alignment horizontal="center" vertical="center"/>
    </xf>
    <xf numFmtId="169" fontId="10" fillId="34" borderId="21" xfId="0" applyNumberFormat="1" applyFont="1" applyFill="1" applyBorder="1" applyAlignment="1">
      <alignment horizontal="right"/>
    </xf>
    <xf numFmtId="0" fontId="10" fillId="36" borderId="12" xfId="0" applyFont="1" applyFill="1" applyBorder="1" applyAlignment="1">
      <alignment horizontal="center"/>
    </xf>
    <xf numFmtId="0" fontId="10" fillId="36" borderId="18" xfId="0" applyFont="1" applyFill="1" applyBorder="1" applyAlignment="1">
      <alignment horizontal="center"/>
    </xf>
    <xf numFmtId="7" fontId="7" fillId="34" borderId="11" xfId="44" applyNumberFormat="1" applyFont="1" applyFill="1" applyBorder="1" applyAlignment="1">
      <alignment/>
    </xf>
    <xf numFmtId="2" fontId="7" fillId="34" borderId="11" xfId="0" applyNumberFormat="1" applyFont="1" applyFill="1" applyBorder="1" applyAlignment="1">
      <alignment horizontal="center"/>
    </xf>
    <xf numFmtId="0" fontId="9" fillId="34" borderId="20" xfId="0" applyFont="1" applyFill="1" applyBorder="1" applyAlignment="1">
      <alignment horizontal="left"/>
    </xf>
    <xf numFmtId="0" fontId="11" fillId="34" borderId="12" xfId="0" applyFont="1" applyFill="1" applyBorder="1" applyAlignment="1">
      <alignment/>
    </xf>
    <xf numFmtId="0" fontId="9" fillId="34" borderId="12" xfId="0" applyFont="1" applyFill="1" applyBorder="1" applyAlignment="1">
      <alignment horizontal="center"/>
    </xf>
    <xf numFmtId="169" fontId="10" fillId="34" borderId="22" xfId="0" applyNumberFormat="1" applyFont="1" applyFill="1" applyBorder="1" applyAlignment="1">
      <alignment horizontal="right"/>
    </xf>
    <xf numFmtId="0" fontId="7" fillId="37" borderId="0" xfId="0" applyFont="1" applyFill="1" applyAlignment="1">
      <alignment horizontal="left" vertical="top" wrapText="1"/>
    </xf>
    <xf numFmtId="0" fontId="11" fillId="34" borderId="11" xfId="0" applyFont="1" applyFill="1" applyBorder="1" applyAlignment="1">
      <alignment horizontal="left" vertical="center"/>
    </xf>
    <xf numFmtId="0" fontId="11" fillId="34" borderId="11" xfId="0" applyFont="1" applyFill="1" applyBorder="1" applyAlignment="1">
      <alignment horizontal="left" vertical="center" wrapText="1"/>
    </xf>
    <xf numFmtId="4" fontId="7" fillId="35" borderId="11" xfId="0" applyNumberFormat="1" applyFont="1" applyFill="1" applyBorder="1" applyAlignment="1" applyProtection="1">
      <alignment/>
      <protection locked="0"/>
    </xf>
    <xf numFmtId="4" fontId="7" fillId="35" borderId="12" xfId="0" applyNumberFormat="1" applyFont="1" applyFill="1" applyBorder="1" applyAlignment="1" applyProtection="1">
      <alignment horizontal="right"/>
      <protection locked="0"/>
    </xf>
    <xf numFmtId="3" fontId="21" fillId="37" borderId="23" xfId="0" applyNumberFormat="1" applyFont="1" applyFill="1" applyBorder="1" applyAlignment="1" applyProtection="1">
      <alignment horizontal="center"/>
      <protection locked="0"/>
    </xf>
    <xf numFmtId="0" fontId="11" fillId="34" borderId="12" xfId="0" applyFont="1" applyFill="1" applyBorder="1" applyAlignment="1">
      <alignment horizontal="left" vertical="center"/>
    </xf>
    <xf numFmtId="0" fontId="11" fillId="34" borderId="11" xfId="0" applyFont="1" applyFill="1" applyBorder="1" applyAlignment="1">
      <alignment horizontal="left"/>
    </xf>
    <xf numFmtId="0" fontId="11" fillId="34" borderId="11" xfId="0" applyFont="1" applyFill="1" applyBorder="1" applyAlignment="1">
      <alignment horizontal="center" vertical="center" wrapText="1"/>
    </xf>
    <xf numFmtId="7" fontId="7" fillId="34" borderId="11" xfId="44" applyNumberFormat="1" applyFont="1" applyFill="1" applyBorder="1" applyAlignment="1">
      <alignment horizontal="right"/>
    </xf>
    <xf numFmtId="169" fontId="7" fillId="38" borderId="11" xfId="0" applyNumberFormat="1" applyFont="1" applyFill="1" applyBorder="1" applyAlignment="1">
      <alignment/>
    </xf>
    <xf numFmtId="4" fontId="10" fillId="34" borderId="12" xfId="0" applyNumberFormat="1" applyFont="1" applyFill="1" applyBorder="1" applyAlignment="1" quotePrefix="1">
      <alignment horizontal="right" vertical="center"/>
    </xf>
    <xf numFmtId="169" fontId="7" fillId="34" borderId="12" xfId="0" applyNumberFormat="1" applyFont="1" applyFill="1" applyBorder="1" applyAlignment="1">
      <alignment horizontal="right" vertical="center"/>
    </xf>
    <xf numFmtId="169" fontId="7" fillId="34" borderId="12" xfId="0" applyNumberFormat="1" applyFont="1" applyFill="1" applyBorder="1" applyAlignment="1">
      <alignment vertical="center"/>
    </xf>
    <xf numFmtId="0" fontId="7" fillId="34" borderId="0" xfId="58" applyFont="1" applyFill="1">
      <alignment/>
      <protection/>
    </xf>
    <xf numFmtId="0" fontId="0" fillId="0" borderId="0" xfId="58" applyAlignment="1">
      <alignment horizontal="center"/>
      <protection/>
    </xf>
    <xf numFmtId="0" fontId="0" fillId="0" borderId="0" xfId="58">
      <alignment/>
      <protection/>
    </xf>
    <xf numFmtId="0" fontId="0" fillId="35" borderId="0" xfId="58" applyFill="1">
      <alignment/>
      <protection/>
    </xf>
    <xf numFmtId="0" fontId="7" fillId="34" borderId="11" xfId="58" applyFont="1" applyFill="1" applyBorder="1" applyAlignment="1">
      <alignment horizontal="center" vertical="center"/>
      <protection/>
    </xf>
    <xf numFmtId="0" fontId="7" fillId="34" borderId="11" xfId="58" applyFont="1" applyFill="1" applyBorder="1" applyAlignment="1">
      <alignment vertical="center"/>
      <protection/>
    </xf>
    <xf numFmtId="0" fontId="0" fillId="35" borderId="11" xfId="58" applyFill="1" applyBorder="1">
      <alignment/>
      <protection/>
    </xf>
    <xf numFmtId="0" fontId="4" fillId="0" borderId="0" xfId="58" applyFont="1" applyAlignment="1">
      <alignment horizontal="center" vertical="center"/>
      <protection/>
    </xf>
    <xf numFmtId="0" fontId="7" fillId="39" borderId="11" xfId="58" applyFont="1" applyFill="1" applyBorder="1">
      <alignment/>
      <protection/>
    </xf>
    <xf numFmtId="0" fontId="7" fillId="34" borderId="11" xfId="58" applyFont="1" applyFill="1" applyBorder="1">
      <alignment/>
      <protection/>
    </xf>
    <xf numFmtId="169" fontId="7" fillId="34" borderId="11" xfId="58" applyNumberFormat="1" applyFont="1" applyFill="1" applyBorder="1">
      <alignment/>
      <protection/>
    </xf>
    <xf numFmtId="2" fontId="7" fillId="34" borderId="11" xfId="58" applyNumberFormat="1" applyFont="1" applyFill="1" applyBorder="1" applyAlignment="1">
      <alignment horizontal="center"/>
      <protection/>
    </xf>
    <xf numFmtId="169" fontId="7" fillId="34" borderId="11" xfId="58" applyNumberFormat="1" applyFont="1" applyFill="1" applyBorder="1" applyAlignment="1">
      <alignment horizontal="right"/>
      <protection/>
    </xf>
    <xf numFmtId="0" fontId="7" fillId="39" borderId="11" xfId="58" applyFont="1" applyFill="1" applyBorder="1" applyAlignment="1">
      <alignment vertical="center"/>
      <protection/>
    </xf>
    <xf numFmtId="169" fontId="7" fillId="34" borderId="11" xfId="0" applyNumberFormat="1" applyFont="1" applyFill="1" applyBorder="1" applyAlignment="1">
      <alignment vertical="center"/>
    </xf>
    <xf numFmtId="0" fontId="9" fillId="34" borderId="11" xfId="0" applyFont="1" applyFill="1" applyBorder="1" applyAlignment="1">
      <alignment vertical="center"/>
    </xf>
    <xf numFmtId="169" fontId="9" fillId="34" borderId="12" xfId="0" applyNumberFormat="1" applyFont="1" applyFill="1" applyBorder="1" applyAlignment="1">
      <alignment vertical="center"/>
    </xf>
    <xf numFmtId="169" fontId="9" fillId="34" borderId="11" xfId="0" applyNumberFormat="1" applyFont="1" applyFill="1" applyBorder="1" applyAlignment="1">
      <alignment vertical="center"/>
    </xf>
    <xf numFmtId="0" fontId="9" fillId="34" borderId="12" xfId="0" applyFont="1" applyFill="1" applyBorder="1" applyAlignment="1">
      <alignment/>
    </xf>
    <xf numFmtId="0" fontId="7" fillId="34" borderId="24" xfId="0" applyFont="1" applyFill="1" applyBorder="1" applyAlignment="1">
      <alignment/>
    </xf>
    <xf numFmtId="0" fontId="7" fillId="34" borderId="25" xfId="0" applyFont="1" applyFill="1" applyBorder="1" applyAlignment="1">
      <alignment/>
    </xf>
    <xf numFmtId="0" fontId="7" fillId="34" borderId="20" xfId="0" applyFont="1" applyFill="1" applyBorder="1" applyAlignment="1">
      <alignment/>
    </xf>
    <xf numFmtId="0" fontId="7" fillId="34" borderId="17" xfId="0" applyFont="1" applyFill="1" applyBorder="1" applyAlignment="1">
      <alignment/>
    </xf>
    <xf numFmtId="169" fontId="11" fillId="34" borderId="11" xfId="0" applyNumberFormat="1" applyFont="1" applyFill="1" applyBorder="1" applyAlignment="1">
      <alignment horizontal="center" vertical="center"/>
    </xf>
    <xf numFmtId="4" fontId="7" fillId="34" borderId="11" xfId="0" applyNumberFormat="1" applyFont="1" applyFill="1" applyBorder="1" applyAlignment="1">
      <alignment horizontal="center"/>
    </xf>
    <xf numFmtId="4" fontId="7" fillId="34" borderId="11" xfId="0" applyNumberFormat="1" applyFont="1" applyFill="1" applyBorder="1" applyAlignment="1">
      <alignment horizontal="center" vertical="center"/>
    </xf>
    <xf numFmtId="2" fontId="7" fillId="35" borderId="11" xfId="44" applyNumberFormat="1" applyFont="1" applyFill="1" applyBorder="1" applyAlignment="1" applyProtection="1">
      <alignment/>
      <protection locked="0"/>
    </xf>
    <xf numFmtId="4" fontId="7" fillId="35" borderId="12" xfId="0" applyNumberFormat="1" applyFont="1" applyFill="1" applyBorder="1" applyAlignment="1" applyProtection="1" quotePrefix="1">
      <alignment horizontal="right"/>
      <protection locked="0"/>
    </xf>
    <xf numFmtId="0" fontId="0" fillId="0" borderId="0" xfId="0" applyFont="1" applyAlignment="1">
      <alignment/>
    </xf>
    <xf numFmtId="44" fontId="0" fillId="0" borderId="0" xfId="44" applyFont="1" applyAlignment="1">
      <alignment horizontal="center"/>
    </xf>
    <xf numFmtId="44" fontId="2" fillId="0" borderId="0" xfId="44" applyFont="1" applyAlignment="1">
      <alignment horizontal="center"/>
    </xf>
    <xf numFmtId="0" fontId="2" fillId="0" borderId="0" xfId="58" applyFont="1" applyAlignment="1">
      <alignment horizontal="center"/>
      <protection/>
    </xf>
    <xf numFmtId="0" fontId="2" fillId="0" borderId="0" xfId="58" applyFont="1">
      <alignment/>
      <protection/>
    </xf>
    <xf numFmtId="44" fontId="0" fillId="0" borderId="0" xfId="44" applyFont="1" applyAlignment="1">
      <alignment/>
    </xf>
    <xf numFmtId="44" fontId="4" fillId="0" borderId="0" xfId="44" applyFont="1" applyAlignment="1">
      <alignment horizontal="center" vertical="center"/>
    </xf>
    <xf numFmtId="0" fontId="2" fillId="6" borderId="0" xfId="58" applyFont="1" applyFill="1" applyAlignment="1">
      <alignment horizontal="center"/>
      <protection/>
    </xf>
    <xf numFmtId="44" fontId="0" fillId="0" borderId="0" xfId="44" applyFont="1" applyAlignment="1">
      <alignment horizontal="center"/>
    </xf>
    <xf numFmtId="0" fontId="23" fillId="12" borderId="0" xfId="0" applyFont="1" applyFill="1" applyAlignment="1">
      <alignment vertical="center" wrapText="1"/>
    </xf>
    <xf numFmtId="0" fontId="23" fillId="12" borderId="0" xfId="0" applyFont="1" applyFill="1" applyAlignment="1">
      <alignment horizontal="center" vertical="center" wrapText="1"/>
    </xf>
    <xf numFmtId="0" fontId="23" fillId="0" borderId="0" xfId="0" applyFont="1" applyFill="1" applyAlignment="1">
      <alignment horizontal="center" vertical="center" wrapText="1"/>
    </xf>
    <xf numFmtId="0" fontId="0" fillId="40" borderId="0" xfId="0" applyFill="1" applyAlignment="1">
      <alignment/>
    </xf>
    <xf numFmtId="0" fontId="7" fillId="40" borderId="0" xfId="0" applyFont="1" applyFill="1" applyAlignment="1">
      <alignment/>
    </xf>
    <xf numFmtId="0" fontId="15" fillId="40" borderId="0" xfId="0" applyFont="1" applyFill="1" applyAlignment="1">
      <alignment/>
    </xf>
    <xf numFmtId="0" fontId="0" fillId="40" borderId="0" xfId="0" applyFill="1" applyAlignment="1">
      <alignment vertical="center" wrapText="1"/>
    </xf>
    <xf numFmtId="0" fontId="23" fillId="12" borderId="11" xfId="0" applyFont="1" applyFill="1" applyBorder="1" applyAlignment="1">
      <alignment horizontal="center" vertical="center" wrapText="1"/>
    </xf>
    <xf numFmtId="0" fontId="6" fillId="0" borderId="0" xfId="0" applyFont="1" applyAlignment="1">
      <alignment/>
    </xf>
    <xf numFmtId="0" fontId="2" fillId="0" borderId="0" xfId="0" applyFont="1" applyFill="1" applyAlignment="1">
      <alignment/>
    </xf>
    <xf numFmtId="0" fontId="0" fillId="0" borderId="0" xfId="0" applyBorder="1" applyAlignment="1">
      <alignment/>
    </xf>
    <xf numFmtId="0" fontId="11" fillId="0" borderId="0" xfId="0" applyFont="1" applyFill="1" applyBorder="1" applyAlignment="1">
      <alignment/>
    </xf>
    <xf numFmtId="0" fontId="11" fillId="0" borderId="0" xfId="0" applyFont="1" applyFill="1" applyBorder="1" applyAlignment="1">
      <alignment horizontal="center" vertical="center"/>
    </xf>
    <xf numFmtId="169" fontId="11" fillId="0" borderId="0" xfId="0" applyNumberFormat="1" applyFont="1" applyFill="1" applyBorder="1" applyAlignment="1">
      <alignment horizontal="center" vertical="center"/>
    </xf>
    <xf numFmtId="169" fontId="7" fillId="0" borderId="0" xfId="0" applyNumberFormat="1" applyFont="1" applyFill="1" applyBorder="1" applyAlignment="1">
      <alignment/>
    </xf>
    <xf numFmtId="0" fontId="0" fillId="0" borderId="0" xfId="0" applyAlignment="1">
      <alignment wrapText="1"/>
    </xf>
    <xf numFmtId="0" fontId="0" fillId="0" borderId="0" xfId="0" applyFont="1" applyFill="1" applyAlignment="1">
      <alignment/>
    </xf>
    <xf numFmtId="0" fontId="1" fillId="0" borderId="0" xfId="0" applyFont="1" applyFill="1" applyAlignment="1">
      <alignment/>
    </xf>
    <xf numFmtId="4" fontId="7" fillId="0" borderId="12" xfId="0" applyNumberFormat="1" applyFont="1" applyFill="1" applyBorder="1" applyAlignment="1" applyProtection="1">
      <alignment horizontal="center"/>
      <protection locked="0"/>
    </xf>
    <xf numFmtId="44" fontId="7" fillId="35" borderId="12" xfId="44" applyFont="1" applyFill="1" applyBorder="1" applyAlignment="1" applyProtection="1">
      <alignment horizontal="center"/>
      <protection locked="0"/>
    </xf>
    <xf numFmtId="0" fontId="2" fillId="0" borderId="0" xfId="0" applyFont="1" applyAlignment="1">
      <alignment wrapText="1"/>
    </xf>
    <xf numFmtId="0" fontId="0" fillId="0" borderId="0" xfId="0" applyFont="1" applyAlignment="1">
      <alignment wrapText="1"/>
    </xf>
    <xf numFmtId="49" fontId="2" fillId="0" borderId="0" xfId="44" applyNumberFormat="1" applyFont="1" applyFill="1" applyAlignment="1">
      <alignment/>
    </xf>
    <xf numFmtId="0" fontId="0" fillId="0" borderId="0" xfId="58" applyFill="1">
      <alignment/>
      <protection/>
    </xf>
    <xf numFmtId="0" fontId="0" fillId="0" borderId="0" xfId="58" applyFont="1" applyFill="1" applyAlignment="1">
      <alignment horizontal="center"/>
      <protection/>
    </xf>
    <xf numFmtId="44" fontId="0" fillId="0" borderId="0" xfId="44" applyFont="1" applyFill="1" applyAlignment="1">
      <alignment wrapText="1"/>
    </xf>
    <xf numFmtId="0" fontId="0" fillId="0" borderId="0" xfId="58" applyFill="1" applyAlignment="1">
      <alignment horizontal="center"/>
      <protection/>
    </xf>
    <xf numFmtId="44" fontId="0" fillId="0" borderId="0" xfId="44" applyFont="1" applyFill="1" applyAlignment="1">
      <alignment/>
    </xf>
    <xf numFmtId="44" fontId="0" fillId="0" borderId="0" xfId="44" applyFont="1" applyFill="1" applyAlignment="1">
      <alignment/>
    </xf>
    <xf numFmtId="0" fontId="0" fillId="0" borderId="0" xfId="58" applyFont="1" applyFill="1">
      <alignment/>
      <protection/>
    </xf>
    <xf numFmtId="9" fontId="0" fillId="0" borderId="0" xfId="44" applyNumberFormat="1" applyFont="1" applyFill="1" applyAlignment="1">
      <alignment/>
    </xf>
    <xf numFmtId="9" fontId="0" fillId="0" borderId="0" xfId="58" applyNumberFormat="1" applyFont="1" applyFill="1" applyAlignment="1">
      <alignment horizontal="center"/>
      <protection/>
    </xf>
    <xf numFmtId="43" fontId="0" fillId="0" borderId="0" xfId="44" applyNumberFormat="1" applyFont="1" applyFill="1" applyAlignment="1">
      <alignment/>
    </xf>
    <xf numFmtId="2" fontId="0" fillId="0" borderId="0" xfId="58" applyNumberFormat="1" applyFill="1">
      <alignment/>
      <protection/>
    </xf>
    <xf numFmtId="185" fontId="0" fillId="0" borderId="0" xfId="58" applyNumberFormat="1" applyFill="1" applyAlignment="1">
      <alignment horizontal="center"/>
      <protection/>
    </xf>
    <xf numFmtId="43" fontId="0" fillId="0" borderId="0" xfId="58" applyNumberFormat="1" applyFill="1" applyAlignment="1">
      <alignment horizontal="center"/>
      <protection/>
    </xf>
    <xf numFmtId="9" fontId="0" fillId="0" borderId="0" xfId="58" applyNumberFormat="1" applyFill="1">
      <alignment/>
      <protection/>
    </xf>
    <xf numFmtId="9" fontId="0" fillId="0" borderId="0" xfId="62" applyFont="1" applyFill="1" applyAlignment="1">
      <alignment/>
    </xf>
    <xf numFmtId="9" fontId="0" fillId="0" borderId="0" xfId="44" applyNumberFormat="1" applyFont="1" applyFill="1" applyAlignment="1">
      <alignment/>
    </xf>
    <xf numFmtId="0" fontId="13" fillId="37" borderId="0" xfId="0" applyFont="1" applyFill="1" applyAlignment="1">
      <alignment vertical="center" wrapText="1"/>
    </xf>
    <xf numFmtId="0" fontId="0" fillId="0" borderId="0" xfId="0" applyFill="1" applyAlignment="1">
      <alignment/>
    </xf>
    <xf numFmtId="191" fontId="7" fillId="35" borderId="11" xfId="42" applyNumberFormat="1" applyFont="1" applyFill="1" applyBorder="1" applyAlignment="1" applyProtection="1">
      <alignment horizontal="right"/>
      <protection locked="0"/>
    </xf>
    <xf numFmtId="169" fontId="7" fillId="34" borderId="11" xfId="0" applyNumberFormat="1" applyFont="1" applyFill="1" applyBorder="1" applyAlignment="1" applyProtection="1">
      <alignment horizontal="right"/>
      <protection/>
    </xf>
    <xf numFmtId="2" fontId="7" fillId="34" borderId="11" xfId="0" applyNumberFormat="1" applyFont="1" applyFill="1" applyBorder="1" applyAlignment="1" applyProtection="1">
      <alignment horizontal="right"/>
      <protection/>
    </xf>
    <xf numFmtId="169" fontId="7" fillId="34" borderId="11" xfId="0" applyNumberFormat="1" applyFont="1" applyFill="1" applyBorder="1" applyAlignment="1" applyProtection="1">
      <alignment horizontal="right" vertical="center"/>
      <protection/>
    </xf>
    <xf numFmtId="169" fontId="7" fillId="34" borderId="12" xfId="0" applyNumberFormat="1" applyFont="1" applyFill="1" applyBorder="1" applyAlignment="1" applyProtection="1">
      <alignment horizontal="right"/>
      <protection/>
    </xf>
    <xf numFmtId="169" fontId="2" fillId="34" borderId="18" xfId="0" applyNumberFormat="1" applyFont="1" applyFill="1" applyBorder="1" applyAlignment="1" applyProtection="1">
      <alignment horizontal="right"/>
      <protection/>
    </xf>
    <xf numFmtId="169" fontId="7" fillId="34" borderId="18" xfId="0" applyNumberFormat="1" applyFont="1" applyFill="1" applyBorder="1" applyAlignment="1" applyProtection="1">
      <alignment horizontal="right"/>
      <protection/>
    </xf>
    <xf numFmtId="0" fontId="1" fillId="0" borderId="0" xfId="0" applyFont="1" applyAlignment="1">
      <alignment wrapText="1"/>
    </xf>
    <xf numFmtId="3" fontId="29" fillId="41" borderId="11" xfId="0" applyNumberFormat="1" applyFont="1" applyFill="1" applyBorder="1" applyAlignment="1" applyProtection="1">
      <alignment horizontal="center" vertical="center"/>
      <protection locked="0"/>
    </xf>
    <xf numFmtId="3" fontId="11" fillId="41" borderId="11" xfId="0" applyNumberFormat="1" applyFont="1" applyFill="1" applyBorder="1" applyAlignment="1" applyProtection="1">
      <alignment horizontal="center" vertical="center" wrapText="1"/>
      <protection locked="0"/>
    </xf>
    <xf numFmtId="169" fontId="7" fillId="0" borderId="18" xfId="0" applyNumberFormat="1" applyFont="1" applyFill="1" applyBorder="1" applyAlignment="1">
      <alignment/>
    </xf>
    <xf numFmtId="0" fontId="19" fillId="0" borderId="0" xfId="0" applyFont="1" applyFill="1" applyBorder="1" applyAlignment="1">
      <alignment/>
    </xf>
    <xf numFmtId="0" fontId="0" fillId="0" borderId="0" xfId="0" applyFill="1" applyBorder="1" applyAlignment="1">
      <alignment/>
    </xf>
    <xf numFmtId="0" fontId="9" fillId="0" borderId="0" xfId="0" applyFont="1" applyFill="1" applyBorder="1" applyAlignment="1">
      <alignment horizontal="center"/>
    </xf>
    <xf numFmtId="4" fontId="9"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xf>
    <xf numFmtId="2" fontId="7" fillId="0" borderId="0" xfId="0" applyNumberFormat="1" applyFont="1" applyFill="1" applyBorder="1" applyAlignment="1">
      <alignment/>
    </xf>
    <xf numFmtId="169" fontId="10" fillId="0" borderId="0" xfId="0" applyNumberFormat="1" applyFont="1" applyFill="1" applyBorder="1" applyAlignment="1">
      <alignment/>
    </xf>
    <xf numFmtId="0" fontId="2" fillId="0" borderId="0" xfId="58" applyFont="1" applyBorder="1" applyAlignment="1">
      <alignment horizontal="center"/>
      <protection/>
    </xf>
    <xf numFmtId="44" fontId="2" fillId="0" borderId="0" xfId="44" applyFont="1" applyBorder="1" applyAlignment="1">
      <alignment horizontal="center"/>
    </xf>
    <xf numFmtId="0" fontId="2" fillId="0" borderId="0" xfId="58" applyFont="1" applyBorder="1">
      <alignment/>
      <protection/>
    </xf>
    <xf numFmtId="0" fontId="0" fillId="0" borderId="0" xfId="58" applyBorder="1">
      <alignment/>
      <protection/>
    </xf>
    <xf numFmtId="9" fontId="68" fillId="42" borderId="0" xfId="58" applyNumberFormat="1" applyFont="1" applyFill="1" applyBorder="1" applyAlignment="1">
      <alignment horizontal="center" vertical="center"/>
      <protection/>
    </xf>
    <xf numFmtId="9" fontId="68" fillId="43" borderId="0" xfId="58" applyNumberFormat="1" applyFont="1" applyFill="1" applyBorder="1" applyAlignment="1">
      <alignment horizontal="center" vertical="center"/>
      <protection/>
    </xf>
    <xf numFmtId="0" fontId="7" fillId="0" borderId="11" xfId="0" applyFont="1" applyFill="1" applyBorder="1" applyAlignment="1" applyProtection="1">
      <alignment/>
      <protection locked="0"/>
    </xf>
    <xf numFmtId="0" fontId="7" fillId="0" borderId="0" xfId="0" applyFont="1" applyFill="1" applyBorder="1" applyAlignment="1" applyProtection="1">
      <alignment horizontal="center"/>
      <protection locked="0"/>
    </xf>
    <xf numFmtId="4" fontId="7" fillId="0" borderId="0" xfId="0" applyNumberFormat="1" applyFont="1" applyFill="1" applyBorder="1" applyAlignment="1" applyProtection="1">
      <alignment horizontal="right"/>
      <protection locked="0"/>
    </xf>
    <xf numFmtId="4" fontId="7" fillId="0" borderId="0" xfId="0" applyNumberFormat="1" applyFont="1" applyFill="1" applyBorder="1" applyAlignment="1">
      <alignment/>
    </xf>
    <xf numFmtId="9" fontId="0" fillId="0" borderId="0" xfId="62" applyFont="1" applyFill="1" applyAlignment="1">
      <alignment/>
    </xf>
    <xf numFmtId="3" fontId="27" fillId="41" borderId="11" xfId="0" applyNumberFormat="1" applyFont="1" applyFill="1" applyBorder="1" applyAlignment="1" applyProtection="1">
      <alignment horizontal="center" vertical="center"/>
      <protection/>
    </xf>
    <xf numFmtId="3" fontId="27" fillId="44" borderId="11" xfId="0" applyNumberFormat="1" applyFont="1" applyFill="1" applyBorder="1" applyAlignment="1" applyProtection="1">
      <alignment horizontal="center" vertical="center"/>
      <protection locked="0"/>
    </xf>
    <xf numFmtId="0" fontId="24" fillId="45" borderId="26" xfId="0" applyFont="1" applyFill="1" applyBorder="1" applyAlignment="1" applyProtection="1">
      <alignment vertical="center" wrapText="1"/>
      <protection locked="0"/>
    </xf>
    <xf numFmtId="0" fontId="69" fillId="46" borderId="0" xfId="0" applyFont="1" applyFill="1" applyAlignment="1">
      <alignment wrapText="1"/>
    </xf>
    <xf numFmtId="0" fontId="11" fillId="40" borderId="12" xfId="0" applyFont="1" applyFill="1" applyBorder="1" applyAlignment="1">
      <alignment horizontal="center" vertical="center" wrapText="1"/>
    </xf>
    <xf numFmtId="0" fontId="11" fillId="40" borderId="18" xfId="0" applyFont="1" applyFill="1" applyBorder="1" applyAlignment="1">
      <alignment horizontal="center" vertical="center" wrapText="1"/>
    </xf>
    <xf numFmtId="0" fontId="11" fillId="34" borderId="12" xfId="0" applyFont="1" applyFill="1" applyBorder="1" applyAlignment="1">
      <alignment horizontal="left"/>
    </xf>
    <xf numFmtId="0" fontId="11" fillId="34" borderId="18" xfId="0" applyFont="1" applyFill="1" applyBorder="1" applyAlignment="1">
      <alignment horizontal="left"/>
    </xf>
    <xf numFmtId="0" fontId="11" fillId="34" borderId="13" xfId="0" applyFont="1" applyFill="1" applyBorder="1" applyAlignment="1">
      <alignment horizontal="left"/>
    </xf>
    <xf numFmtId="0" fontId="0" fillId="40" borderId="25" xfId="0" applyFill="1" applyBorder="1" applyAlignment="1">
      <alignment horizontal="center"/>
    </xf>
    <xf numFmtId="0" fontId="0" fillId="40" borderId="17" xfId="0" applyFill="1" applyBorder="1" applyAlignment="1">
      <alignment horizontal="center"/>
    </xf>
    <xf numFmtId="0" fontId="23" fillId="12" borderId="0" xfId="0" applyFont="1" applyFill="1" applyAlignment="1">
      <alignment vertical="center" wrapText="1"/>
    </xf>
    <xf numFmtId="0" fontId="10" fillId="34" borderId="22" xfId="0" applyFont="1" applyFill="1" applyBorder="1" applyAlignment="1">
      <alignment horizontal="left" wrapText="1"/>
    </xf>
    <xf numFmtId="0" fontId="10" fillId="34" borderId="16" xfId="0" applyFont="1" applyFill="1" applyBorder="1" applyAlignment="1">
      <alignment horizontal="left" wrapText="1"/>
    </xf>
    <xf numFmtId="0" fontId="10" fillId="34" borderId="24" xfId="0" applyFont="1" applyFill="1" applyBorder="1" applyAlignment="1">
      <alignment horizontal="left" wrapText="1"/>
    </xf>
    <xf numFmtId="0" fontId="10" fillId="34" borderId="19" xfId="0" applyFont="1" applyFill="1" applyBorder="1" applyAlignment="1">
      <alignment horizontal="left" wrapText="1"/>
    </xf>
    <xf numFmtId="0" fontId="10" fillId="34" borderId="20" xfId="0" applyFont="1" applyFill="1" applyBorder="1" applyAlignment="1">
      <alignment horizontal="left" wrapText="1"/>
    </xf>
    <xf numFmtId="0" fontId="10" fillId="34" borderId="17" xfId="0" applyFont="1" applyFill="1" applyBorder="1" applyAlignment="1">
      <alignment horizontal="left" wrapText="1"/>
    </xf>
    <xf numFmtId="169" fontId="10" fillId="34" borderId="21" xfId="0" applyNumberFormat="1" applyFont="1" applyFill="1" applyBorder="1" applyAlignment="1" applyProtection="1">
      <alignment horizontal="right" vertical="center"/>
      <protection/>
    </xf>
    <xf numFmtId="169" fontId="10" fillId="34" borderId="27" xfId="0" applyNumberFormat="1" applyFont="1" applyFill="1" applyBorder="1" applyAlignment="1" applyProtection="1">
      <alignment horizontal="right" vertical="center"/>
      <protection/>
    </xf>
    <xf numFmtId="169" fontId="10" fillId="34" borderId="21" xfId="0" applyNumberFormat="1" applyFont="1" applyFill="1" applyBorder="1" applyAlignment="1">
      <alignment horizontal="right" vertical="center"/>
    </xf>
    <xf numFmtId="169" fontId="10" fillId="34" borderId="27" xfId="0" applyNumberFormat="1" applyFont="1" applyFill="1" applyBorder="1" applyAlignment="1">
      <alignment horizontal="right" vertical="center"/>
    </xf>
    <xf numFmtId="0" fontId="23" fillId="12" borderId="19" xfId="0" applyFont="1" applyFill="1" applyBorder="1" applyAlignment="1">
      <alignment horizontal="center" vertical="center" wrapText="1"/>
    </xf>
    <xf numFmtId="0" fontId="0" fillId="0" borderId="20" xfId="0" applyBorder="1" applyAlignment="1">
      <alignment horizontal="center" vertical="center" wrapText="1"/>
    </xf>
    <xf numFmtId="169" fontId="10" fillId="34" borderId="21" xfId="0" applyNumberFormat="1" applyFont="1" applyFill="1" applyBorder="1" applyAlignment="1">
      <alignment horizontal="right"/>
    </xf>
    <xf numFmtId="169" fontId="10" fillId="34" borderId="27" xfId="0" applyNumberFormat="1" applyFont="1" applyFill="1" applyBorder="1" applyAlignment="1">
      <alignment horizontal="right"/>
    </xf>
    <xf numFmtId="0" fontId="17" fillId="47" borderId="22" xfId="0" applyFont="1" applyFill="1" applyBorder="1" applyAlignment="1">
      <alignment horizontal="left" vertical="center" wrapText="1"/>
    </xf>
    <xf numFmtId="0" fontId="17" fillId="47" borderId="16" xfId="0" applyFont="1" applyFill="1" applyBorder="1" applyAlignment="1">
      <alignment horizontal="left" vertical="center" wrapText="1"/>
    </xf>
    <xf numFmtId="0" fontId="17" fillId="47" borderId="24" xfId="0" applyFont="1" applyFill="1" applyBorder="1" applyAlignment="1">
      <alignment horizontal="left" vertical="center" wrapText="1"/>
    </xf>
    <xf numFmtId="0" fontId="17" fillId="47" borderId="19" xfId="0" applyFont="1" applyFill="1" applyBorder="1" applyAlignment="1">
      <alignment horizontal="left" vertical="center" wrapText="1"/>
    </xf>
    <xf numFmtId="0" fontId="17" fillId="47" borderId="20" xfId="0" applyFont="1" applyFill="1" applyBorder="1" applyAlignment="1">
      <alignment horizontal="left" vertical="center" wrapText="1"/>
    </xf>
    <xf numFmtId="0" fontId="17" fillId="47" borderId="17" xfId="0" applyFont="1" applyFill="1" applyBorder="1" applyAlignment="1">
      <alignment horizontal="left" vertical="center" wrapText="1"/>
    </xf>
    <xf numFmtId="0" fontId="11" fillId="40" borderId="20" xfId="0" applyFont="1" applyFill="1" applyBorder="1" applyAlignment="1">
      <alignment horizontal="center" vertical="center" wrapText="1"/>
    </xf>
    <xf numFmtId="0" fontId="11" fillId="48" borderId="20" xfId="0" applyFont="1" applyFill="1" applyBorder="1" applyAlignment="1">
      <alignment horizontal="center" vertical="center" wrapText="1"/>
    </xf>
    <xf numFmtId="169" fontId="10" fillId="34" borderId="21" xfId="0" applyNumberFormat="1" applyFont="1" applyFill="1" applyBorder="1" applyAlignment="1" applyProtection="1">
      <alignment horizontal="right"/>
      <protection/>
    </xf>
    <xf numFmtId="169" fontId="10" fillId="34" borderId="27" xfId="0" applyNumberFormat="1" applyFont="1" applyFill="1" applyBorder="1" applyAlignment="1" applyProtection="1">
      <alignment horizontal="right"/>
      <protection/>
    </xf>
    <xf numFmtId="0" fontId="11" fillId="34" borderId="12"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8" fillId="34" borderId="12" xfId="0" applyFont="1" applyFill="1" applyBorder="1" applyAlignment="1">
      <alignment horizontal="left"/>
    </xf>
    <xf numFmtId="0" fontId="8" fillId="34" borderId="18" xfId="0" applyFont="1" applyFill="1" applyBorder="1" applyAlignment="1">
      <alignment horizontal="left"/>
    </xf>
    <xf numFmtId="0" fontId="8" fillId="34" borderId="13" xfId="0" applyFont="1" applyFill="1" applyBorder="1" applyAlignment="1">
      <alignment horizontal="left"/>
    </xf>
    <xf numFmtId="169" fontId="7" fillId="36" borderId="18" xfId="0" applyNumberFormat="1" applyFont="1" applyFill="1" applyBorder="1" applyAlignment="1">
      <alignment horizontal="center"/>
    </xf>
    <xf numFmtId="0" fontId="17" fillId="37" borderId="0" xfId="0" applyFont="1" applyFill="1" applyAlignment="1">
      <alignment horizontal="left" vertical="center" wrapText="1"/>
    </xf>
    <xf numFmtId="0" fontId="19" fillId="37" borderId="28" xfId="0" applyFont="1" applyFill="1" applyBorder="1" applyAlignment="1">
      <alignment horizontal="left" vertical="center"/>
    </xf>
    <xf numFmtId="0" fontId="19" fillId="37" borderId="20" xfId="0" applyFont="1" applyFill="1" applyBorder="1" applyAlignment="1">
      <alignment horizontal="left" vertical="center"/>
    </xf>
    <xf numFmtId="0" fontId="10" fillId="34" borderId="12" xfId="0" applyFont="1" applyFill="1" applyBorder="1" applyAlignment="1">
      <alignment horizontal="left"/>
    </xf>
    <xf numFmtId="0" fontId="10" fillId="34" borderId="18" xfId="0" applyFont="1" applyFill="1" applyBorder="1" applyAlignment="1">
      <alignment horizontal="left"/>
    </xf>
    <xf numFmtId="0" fontId="10" fillId="34" borderId="13" xfId="0" applyFont="1" applyFill="1" applyBorder="1" applyAlignment="1">
      <alignment horizontal="left"/>
    </xf>
    <xf numFmtId="0" fontId="18" fillId="37" borderId="0" xfId="0" applyFont="1" applyFill="1" applyAlignment="1">
      <alignment horizontal="left" vertical="center" wrapText="1"/>
    </xf>
    <xf numFmtId="0" fontId="2" fillId="36" borderId="18" xfId="0" applyFont="1" applyFill="1" applyBorder="1" applyAlignment="1">
      <alignment horizontal="center"/>
    </xf>
    <xf numFmtId="0" fontId="7" fillId="36" borderId="18" xfId="0" applyFont="1" applyFill="1" applyBorder="1" applyAlignment="1">
      <alignment horizontal="center"/>
    </xf>
    <xf numFmtId="0" fontId="3" fillId="34" borderId="0" xfId="0" applyFont="1" applyFill="1" applyAlignment="1">
      <alignment vertical="center" wrapText="1"/>
    </xf>
    <xf numFmtId="0" fontId="0" fillId="34" borderId="0" xfId="0" applyFill="1" applyAlignment="1">
      <alignment vertical="center" wrapText="1"/>
    </xf>
    <xf numFmtId="0" fontId="1" fillId="36" borderId="24" xfId="0" applyFont="1" applyFill="1" applyBorder="1" applyAlignment="1">
      <alignment horizontal="center"/>
    </xf>
    <xf numFmtId="0" fontId="1" fillId="36" borderId="25" xfId="0" applyFont="1" applyFill="1" applyBorder="1" applyAlignment="1">
      <alignment horizontal="center"/>
    </xf>
    <xf numFmtId="0" fontId="1" fillId="36" borderId="17" xfId="0" applyFont="1" applyFill="1" applyBorder="1" applyAlignment="1">
      <alignment horizontal="center"/>
    </xf>
    <xf numFmtId="0" fontId="11" fillId="34" borderId="22" xfId="0" applyFont="1" applyFill="1" applyBorder="1" applyAlignment="1">
      <alignment horizontal="left"/>
    </xf>
    <xf numFmtId="0" fontId="11" fillId="34" borderId="16" xfId="0" applyFont="1" applyFill="1" applyBorder="1" applyAlignment="1">
      <alignment horizontal="left"/>
    </xf>
    <xf numFmtId="0" fontId="11" fillId="34" borderId="24" xfId="0" applyFont="1" applyFill="1" applyBorder="1" applyAlignment="1">
      <alignment horizontal="left"/>
    </xf>
    <xf numFmtId="0" fontId="1" fillId="36" borderId="20" xfId="0" applyFont="1" applyFill="1" applyBorder="1" applyAlignment="1">
      <alignment horizontal="left"/>
    </xf>
    <xf numFmtId="0" fontId="0" fillId="36" borderId="24" xfId="0" applyFill="1" applyBorder="1" applyAlignment="1">
      <alignment horizontal="center"/>
    </xf>
    <xf numFmtId="0" fontId="0" fillId="36" borderId="25" xfId="0" applyFill="1" applyBorder="1" applyAlignment="1">
      <alignment horizontal="center"/>
    </xf>
    <xf numFmtId="0" fontId="0" fillId="36" borderId="17" xfId="0" applyFill="1" applyBorder="1" applyAlignment="1">
      <alignment horizontal="center"/>
    </xf>
    <xf numFmtId="0" fontId="0" fillId="36" borderId="18" xfId="0" applyFill="1" applyBorder="1" applyAlignment="1">
      <alignment horizontal="center"/>
    </xf>
    <xf numFmtId="169" fontId="10" fillId="34" borderId="12" xfId="0" applyNumberFormat="1" applyFont="1" applyFill="1" applyBorder="1" applyAlignment="1">
      <alignment horizontal="left"/>
    </xf>
    <xf numFmtId="169" fontId="10" fillId="34" borderId="13" xfId="0" applyNumberFormat="1" applyFont="1" applyFill="1" applyBorder="1" applyAlignment="1">
      <alignment horizontal="left"/>
    </xf>
    <xf numFmtId="0" fontId="11" fillId="34" borderId="12" xfId="0" applyFont="1" applyFill="1" applyBorder="1" applyAlignment="1">
      <alignment vertical="center" wrapText="1"/>
    </xf>
    <xf numFmtId="0" fontId="12" fillId="0" borderId="18" xfId="0" applyFont="1" applyBorder="1" applyAlignment="1">
      <alignment vertical="center" wrapText="1"/>
    </xf>
    <xf numFmtId="0" fontId="12" fillId="0" borderId="13" xfId="0" applyFont="1" applyBorder="1" applyAlignment="1">
      <alignment vertical="center" wrapText="1"/>
    </xf>
    <xf numFmtId="0" fontId="18" fillId="37" borderId="14" xfId="0" applyFont="1" applyFill="1" applyBorder="1" applyAlignment="1">
      <alignment horizontal="left" vertical="center" wrapText="1"/>
    </xf>
    <xf numFmtId="0" fontId="9" fillId="34" borderId="12" xfId="0" applyFont="1" applyFill="1" applyBorder="1" applyAlignment="1">
      <alignment horizontal="left"/>
    </xf>
    <xf numFmtId="0" fontId="9" fillId="34" borderId="18" xfId="0" applyFont="1" applyFill="1" applyBorder="1" applyAlignment="1">
      <alignment horizontal="left"/>
    </xf>
    <xf numFmtId="0" fontId="9" fillId="34" borderId="13" xfId="0" applyFont="1" applyFill="1" applyBorder="1" applyAlignment="1">
      <alignment horizontal="left"/>
    </xf>
    <xf numFmtId="0" fontId="9" fillId="34" borderId="12" xfId="0" applyFont="1" applyFill="1" applyBorder="1" applyAlignment="1">
      <alignment horizontal="left" vertical="center" wrapText="1"/>
    </xf>
    <xf numFmtId="0" fontId="9" fillId="34" borderId="18"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11" fillId="34" borderId="22"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1"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6" borderId="18" xfId="0" applyFont="1" applyFill="1" applyBorder="1" applyAlignment="1">
      <alignment horizontal="left" vertical="center"/>
    </xf>
    <xf numFmtId="0" fontId="11" fillId="34" borderId="21"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8" fillId="34" borderId="20" xfId="0" applyFont="1" applyFill="1" applyBorder="1" applyAlignment="1">
      <alignment vertical="center"/>
    </xf>
    <xf numFmtId="0" fontId="12" fillId="34" borderId="20" xfId="0" applyFont="1" applyFill="1" applyBorder="1" applyAlignment="1">
      <alignment vertical="center"/>
    </xf>
    <xf numFmtId="0" fontId="12" fillId="34" borderId="17" xfId="0" applyFont="1" applyFill="1" applyBorder="1" applyAlignment="1">
      <alignment vertical="center"/>
    </xf>
    <xf numFmtId="0" fontId="12" fillId="34" borderId="27" xfId="0" applyFont="1" applyFill="1" applyBorder="1" applyAlignment="1">
      <alignment horizontal="center" vertical="center" wrapText="1"/>
    </xf>
    <xf numFmtId="0" fontId="11" fillId="34" borderId="21" xfId="0" applyFont="1" applyFill="1" applyBorder="1" applyAlignment="1">
      <alignment vertical="center" wrapText="1"/>
    </xf>
    <xf numFmtId="0" fontId="12" fillId="34" borderId="27" xfId="0" applyFont="1" applyFill="1" applyBorder="1" applyAlignment="1">
      <alignment vertical="center" wrapText="1"/>
    </xf>
    <xf numFmtId="0" fontId="5" fillId="34" borderId="19"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17" fillId="37" borderId="14" xfId="0" applyFont="1" applyFill="1" applyBorder="1" applyAlignment="1">
      <alignment horizontal="left" vertical="center" wrapText="1"/>
    </xf>
    <xf numFmtId="169" fontId="10" fillId="34" borderId="12" xfId="0" applyNumberFormat="1" applyFont="1" applyFill="1" applyBorder="1" applyAlignment="1">
      <alignment horizontal="center"/>
    </xf>
    <xf numFmtId="169" fontId="10" fillId="34" borderId="13" xfId="0" applyNumberFormat="1" applyFont="1" applyFill="1" applyBorder="1" applyAlignment="1">
      <alignment horizontal="center"/>
    </xf>
    <xf numFmtId="0" fontId="8" fillId="34" borderId="20" xfId="0" applyFont="1" applyFill="1" applyBorder="1" applyAlignment="1">
      <alignment/>
    </xf>
    <xf numFmtId="0" fontId="20" fillId="34" borderId="20" xfId="0" applyFont="1" applyFill="1" applyBorder="1" applyAlignment="1">
      <alignment/>
    </xf>
    <xf numFmtId="0" fontId="5" fillId="34" borderId="27" xfId="0" applyFont="1" applyFill="1" applyBorder="1" applyAlignment="1">
      <alignment horizontal="left" vertical="center" wrapText="1"/>
    </xf>
    <xf numFmtId="0" fontId="5" fillId="34" borderId="27" xfId="0" applyFont="1" applyFill="1" applyBorder="1" applyAlignment="1">
      <alignment horizontal="center" wrapText="1"/>
    </xf>
    <xf numFmtId="0" fontId="8" fillId="34" borderId="20" xfId="0" applyFont="1" applyFill="1" applyBorder="1" applyAlignment="1">
      <alignment horizontal="left" vertical="center"/>
    </xf>
    <xf numFmtId="0" fontId="8" fillId="34" borderId="17" xfId="0" applyFont="1" applyFill="1" applyBorder="1" applyAlignment="1">
      <alignment horizontal="left" vertical="center"/>
    </xf>
    <xf numFmtId="0" fontId="11" fillId="34" borderId="16" xfId="0" applyFont="1" applyFill="1" applyBorder="1" applyAlignment="1">
      <alignment vertical="center" wrapText="1"/>
    </xf>
    <xf numFmtId="0" fontId="12" fillId="0" borderId="16" xfId="0" applyFont="1" applyBorder="1" applyAlignment="1">
      <alignment vertical="center" wrapText="1"/>
    </xf>
    <xf numFmtId="0" fontId="0" fillId="0" borderId="0" xfId="0" applyAlignment="1">
      <alignment wrapText="1"/>
    </xf>
    <xf numFmtId="0" fontId="0" fillId="34" borderId="16" xfId="0" applyFill="1" applyBorder="1" applyAlignment="1">
      <alignment vertical="center"/>
    </xf>
    <xf numFmtId="0" fontId="0" fillId="34" borderId="24" xfId="0" applyFill="1" applyBorder="1" applyAlignment="1">
      <alignment vertical="center"/>
    </xf>
    <xf numFmtId="0" fontId="0" fillId="34" borderId="0" xfId="0" applyFill="1" applyAlignment="1">
      <alignment vertical="center"/>
    </xf>
    <xf numFmtId="0" fontId="0" fillId="34" borderId="25" xfId="0" applyFill="1" applyBorder="1" applyAlignment="1">
      <alignment vertical="center"/>
    </xf>
    <xf numFmtId="169" fontId="10" fillId="34" borderId="22" xfId="0" applyNumberFormat="1" applyFont="1" applyFill="1" applyBorder="1" applyAlignment="1">
      <alignment vertical="center"/>
    </xf>
    <xf numFmtId="0" fontId="0" fillId="0" borderId="14" xfId="0" applyBorder="1" applyAlignment="1">
      <alignment vertical="center"/>
    </xf>
    <xf numFmtId="0" fontId="0" fillId="36" borderId="15" xfId="0" applyFill="1" applyBorder="1" applyAlignment="1">
      <alignment/>
    </xf>
    <xf numFmtId="0" fontId="0" fillId="36" borderId="25" xfId="0" applyFill="1" applyBorder="1" applyAlignment="1">
      <alignment/>
    </xf>
    <xf numFmtId="0" fontId="12" fillId="34" borderId="20" xfId="0" applyFont="1" applyFill="1" applyBorder="1" applyAlignment="1">
      <alignment horizontal="left" vertical="center"/>
    </xf>
    <xf numFmtId="0" fontId="12" fillId="34" borderId="17" xfId="0" applyFont="1" applyFill="1" applyBorder="1" applyAlignment="1">
      <alignment horizontal="left" vertical="center"/>
    </xf>
    <xf numFmtId="0" fontId="11" fillId="34" borderId="18" xfId="0" applyFont="1" applyFill="1" applyBorder="1" applyAlignment="1">
      <alignment vertical="center" wrapText="1"/>
    </xf>
    <xf numFmtId="0" fontId="11" fillId="34" borderId="13" xfId="0" applyFont="1" applyFill="1" applyBorder="1" applyAlignment="1">
      <alignment vertical="center" wrapText="1"/>
    </xf>
    <xf numFmtId="0" fontId="11" fillId="34" borderId="21" xfId="0" applyFont="1" applyFill="1" applyBorder="1" applyAlignment="1">
      <alignment horizontal="left" vertical="center"/>
    </xf>
    <xf numFmtId="0" fontId="11" fillId="34" borderId="27" xfId="0" applyFont="1" applyFill="1" applyBorder="1" applyAlignment="1">
      <alignment horizontal="left" vertical="center"/>
    </xf>
    <xf numFmtId="0" fontId="0" fillId="34" borderId="27" xfId="0" applyFill="1" applyBorder="1" applyAlignment="1">
      <alignment horizontal="center" vertical="center" wrapText="1"/>
    </xf>
    <xf numFmtId="0" fontId="11" fillId="34" borderId="21" xfId="0" applyFont="1" applyFill="1" applyBorder="1" applyAlignment="1">
      <alignment horizontal="center" vertical="center" wrapText="1" shrinkToFit="1"/>
    </xf>
    <xf numFmtId="0" fontId="11" fillId="34" borderId="27" xfId="0" applyFont="1" applyFill="1" applyBorder="1" applyAlignment="1">
      <alignment horizontal="center" vertical="center" wrapText="1" shrinkToFit="1"/>
    </xf>
    <xf numFmtId="0" fontId="11" fillId="34" borderId="27" xfId="0" applyFont="1" applyFill="1" applyBorder="1" applyAlignment="1">
      <alignment vertical="center" wrapText="1"/>
    </xf>
    <xf numFmtId="0" fontId="11" fillId="34" borderId="16" xfId="0" applyFont="1" applyFill="1" applyBorder="1" applyAlignment="1">
      <alignment horizontal="center" vertical="center" wrapText="1"/>
    </xf>
    <xf numFmtId="0" fontId="0" fillId="34" borderId="20" xfId="0" applyFill="1" applyBorder="1" applyAlignment="1">
      <alignment vertical="center" wrapText="1"/>
    </xf>
    <xf numFmtId="0" fontId="0" fillId="34" borderId="27" xfId="0" applyFill="1" applyBorder="1" applyAlignment="1">
      <alignment vertical="center" wrapText="1"/>
    </xf>
    <xf numFmtId="0" fontId="0" fillId="34" borderId="27" xfId="0" applyFill="1" applyBorder="1" applyAlignment="1">
      <alignment horizontal="left" vertical="center" wrapText="1"/>
    </xf>
    <xf numFmtId="0" fontId="0" fillId="34" borderId="19" xfId="0" applyFill="1" applyBorder="1" applyAlignment="1">
      <alignment vertical="center" wrapText="1"/>
    </xf>
    <xf numFmtId="0" fontId="8" fillId="34" borderId="12" xfId="0" applyFont="1" applyFill="1" applyBorder="1" applyAlignment="1">
      <alignment vertical="center" wrapText="1"/>
    </xf>
    <xf numFmtId="0" fontId="0" fillId="34" borderId="18" xfId="0" applyFill="1" applyBorder="1" applyAlignment="1">
      <alignment vertical="center" wrapText="1"/>
    </xf>
    <xf numFmtId="0" fontId="0" fillId="34" borderId="13" xfId="0" applyFill="1" applyBorder="1" applyAlignment="1">
      <alignment vertical="center" wrapText="1"/>
    </xf>
    <xf numFmtId="0" fontId="12" fillId="34" borderId="20" xfId="0" applyFont="1" applyFill="1" applyBorder="1" applyAlignment="1">
      <alignment/>
    </xf>
    <xf numFmtId="0" fontId="9" fillId="34" borderId="0" xfId="0" applyFont="1" applyFill="1" applyAlignment="1">
      <alignment horizontal="center" vertical="center"/>
    </xf>
    <xf numFmtId="0" fontId="9" fillId="34" borderId="25" xfId="0" applyFont="1" applyFill="1" applyBorder="1" applyAlignment="1">
      <alignment horizontal="center" vertical="center"/>
    </xf>
    <xf numFmtId="0" fontId="9" fillId="34" borderId="0" xfId="0" applyFont="1" applyFill="1" applyAlignment="1">
      <alignment vertical="center"/>
    </xf>
    <xf numFmtId="0" fontId="0" fillId="36" borderId="18" xfId="0" applyFill="1" applyBorder="1" applyAlignment="1">
      <alignment horizontal="center" wrapText="1"/>
    </xf>
    <xf numFmtId="0" fontId="12" fillId="34" borderId="19" xfId="0" applyFont="1" applyFill="1" applyBorder="1" applyAlignment="1">
      <alignment horizontal="center" vertical="center" wrapText="1"/>
    </xf>
    <xf numFmtId="2" fontId="7" fillId="34" borderId="21" xfId="0" applyNumberFormat="1" applyFont="1" applyFill="1" applyBorder="1" applyAlignment="1">
      <alignment horizontal="center" vertical="center"/>
    </xf>
    <xf numFmtId="2" fontId="0" fillId="0" borderId="27" xfId="0" applyNumberFormat="1" applyBorder="1" applyAlignment="1">
      <alignment vertical="center"/>
    </xf>
    <xf numFmtId="0" fontId="0" fillId="36" borderId="16" xfId="0" applyFill="1" applyBorder="1" applyAlignment="1">
      <alignment horizontal="center"/>
    </xf>
    <xf numFmtId="0" fontId="0" fillId="34" borderId="21" xfId="0" applyFill="1" applyBorder="1" applyAlignment="1">
      <alignment horizontal="center"/>
    </xf>
    <xf numFmtId="0" fontId="0" fillId="34" borderId="27" xfId="0" applyFill="1" applyBorder="1" applyAlignment="1">
      <alignment horizontal="center"/>
    </xf>
    <xf numFmtId="0" fontId="9" fillId="34" borderId="16" xfId="0" applyFont="1" applyFill="1" applyBorder="1" applyAlignment="1">
      <alignment horizontal="left" wrapText="1"/>
    </xf>
    <xf numFmtId="0" fontId="9" fillId="34" borderId="24" xfId="0" applyFont="1" applyFill="1" applyBorder="1" applyAlignment="1">
      <alignment horizontal="left" wrapText="1"/>
    </xf>
    <xf numFmtId="0" fontId="9" fillId="34" borderId="20" xfId="0" applyFont="1" applyFill="1" applyBorder="1" applyAlignment="1">
      <alignment horizontal="left" wrapText="1"/>
    </xf>
    <xf numFmtId="0" fontId="9" fillId="34" borderId="17" xfId="0" applyFont="1" applyFill="1" applyBorder="1" applyAlignment="1">
      <alignment horizontal="left" wrapText="1"/>
    </xf>
    <xf numFmtId="0" fontId="0" fillId="36" borderId="20" xfId="0" applyFill="1" applyBorder="1" applyAlignment="1">
      <alignment horizontal="center"/>
    </xf>
    <xf numFmtId="0" fontId="8" fillId="34" borderId="0" xfId="0" applyFont="1" applyFill="1" applyAlignment="1">
      <alignment/>
    </xf>
    <xf numFmtId="0" fontId="11" fillId="34" borderId="22" xfId="0" applyFont="1" applyFill="1" applyBorder="1" applyAlignment="1">
      <alignment vertical="center" wrapText="1"/>
    </xf>
    <xf numFmtId="0" fontId="12" fillId="34" borderId="16" xfId="0" applyFont="1" applyFill="1" applyBorder="1" applyAlignment="1">
      <alignment vertical="center" wrapText="1"/>
    </xf>
    <xf numFmtId="0" fontId="12" fillId="34" borderId="24" xfId="0" applyFont="1" applyFill="1" applyBorder="1" applyAlignment="1">
      <alignment vertical="center" wrapText="1"/>
    </xf>
    <xf numFmtId="0" fontId="12" fillId="34" borderId="19" xfId="0" applyFont="1" applyFill="1" applyBorder="1" applyAlignment="1">
      <alignment vertical="center" wrapText="1"/>
    </xf>
    <xf numFmtId="0" fontId="12" fillId="34" borderId="0" xfId="0" applyFont="1" applyFill="1" applyAlignment="1">
      <alignment vertical="center" wrapText="1"/>
    </xf>
    <xf numFmtId="0" fontId="12" fillId="34" borderId="20" xfId="0" applyFont="1" applyFill="1" applyBorder="1" applyAlignment="1">
      <alignment vertical="center" wrapText="1"/>
    </xf>
    <xf numFmtId="0" fontId="12" fillId="34" borderId="17" xfId="0" applyFont="1" applyFill="1" applyBorder="1" applyAlignment="1">
      <alignment vertical="center" wrapText="1"/>
    </xf>
    <xf numFmtId="0" fontId="9" fillId="36" borderId="12" xfId="0" applyFont="1" applyFill="1" applyBorder="1" applyAlignment="1">
      <alignment horizontal="center"/>
    </xf>
    <xf numFmtId="0" fontId="9" fillId="36" borderId="20" xfId="0" applyFont="1" applyFill="1" applyBorder="1" applyAlignment="1">
      <alignment horizontal="center"/>
    </xf>
    <xf numFmtId="0" fontId="9" fillId="36" borderId="18" xfId="0" applyFont="1" applyFill="1" applyBorder="1" applyAlignment="1">
      <alignment horizontal="center"/>
    </xf>
    <xf numFmtId="0" fontId="9" fillId="36" borderId="13" xfId="0" applyFont="1" applyFill="1" applyBorder="1" applyAlignment="1">
      <alignment horizontal="center"/>
    </xf>
    <xf numFmtId="169" fontId="9" fillId="34" borderId="12" xfId="0" applyNumberFormat="1" applyFont="1" applyFill="1" applyBorder="1" applyAlignment="1">
      <alignment horizontal="right" vertical="center"/>
    </xf>
    <xf numFmtId="169" fontId="9" fillId="34" borderId="18" xfId="0" applyNumberFormat="1" applyFont="1" applyFill="1" applyBorder="1" applyAlignment="1">
      <alignment horizontal="right" vertical="center"/>
    </xf>
    <xf numFmtId="0" fontId="0" fillId="36" borderId="0" xfId="0" applyFill="1" applyAlignment="1">
      <alignment horizontal="center"/>
    </xf>
    <xf numFmtId="0" fontId="4" fillId="0" borderId="18" xfId="0" applyFont="1" applyBorder="1" applyAlignment="1">
      <alignment vertical="center" wrapText="1"/>
    </xf>
    <xf numFmtId="0" fontId="4" fillId="0" borderId="13" xfId="0" applyFont="1" applyBorder="1" applyAlignment="1">
      <alignment vertical="center" wrapText="1"/>
    </xf>
    <xf numFmtId="169" fontId="11" fillId="34" borderId="12" xfId="0" applyNumberFormat="1" applyFont="1" applyFill="1" applyBorder="1" applyAlignment="1">
      <alignment horizontal="left" vertical="center"/>
    </xf>
    <xf numFmtId="169" fontId="11" fillId="34" borderId="18" xfId="0" applyNumberFormat="1" applyFont="1" applyFill="1" applyBorder="1" applyAlignment="1">
      <alignment horizontal="left" vertical="center"/>
    </xf>
    <xf numFmtId="169" fontId="11" fillId="34" borderId="13" xfId="0" applyNumberFormat="1" applyFont="1" applyFill="1" applyBorder="1" applyAlignment="1">
      <alignment horizontal="left" vertical="center"/>
    </xf>
    <xf numFmtId="0" fontId="7" fillId="36" borderId="12" xfId="0" applyFont="1" applyFill="1" applyBorder="1" applyAlignment="1">
      <alignment horizontal="center"/>
    </xf>
    <xf numFmtId="0" fontId="7" fillId="36" borderId="13" xfId="0" applyFont="1" applyFill="1" applyBorder="1" applyAlignment="1">
      <alignment horizontal="center"/>
    </xf>
    <xf numFmtId="0" fontId="7" fillId="0" borderId="0" xfId="0" applyFont="1" applyFill="1" applyBorder="1" applyAlignment="1">
      <alignment horizontal="center"/>
    </xf>
    <xf numFmtId="0" fontId="11" fillId="0" borderId="0" xfId="0" applyFont="1" applyFill="1" applyBorder="1" applyAlignment="1">
      <alignment horizontal="left"/>
    </xf>
    <xf numFmtId="0" fontId="5" fillId="36" borderId="12" xfId="0" applyFont="1" applyFill="1" applyBorder="1" applyAlignment="1">
      <alignment horizontal="center"/>
    </xf>
    <xf numFmtId="0" fontId="5" fillId="36" borderId="18" xfId="0" applyFont="1" applyFill="1" applyBorder="1" applyAlignment="1">
      <alignment horizontal="center"/>
    </xf>
    <xf numFmtId="0" fontId="11" fillId="36" borderId="25" xfId="0" applyFont="1" applyFill="1" applyBorder="1" applyAlignment="1">
      <alignment horizontal="center" vertical="center" wrapText="1"/>
    </xf>
    <xf numFmtId="0" fontId="11" fillId="36" borderId="17" xfId="0" applyFont="1" applyFill="1" applyBorder="1" applyAlignment="1">
      <alignment horizontal="center" vertical="center" wrapText="1"/>
    </xf>
    <xf numFmtId="169" fontId="11" fillId="34" borderId="12" xfId="0" applyNumberFormat="1" applyFont="1" applyFill="1" applyBorder="1" applyAlignment="1">
      <alignment horizontal="left" vertical="center" wrapText="1"/>
    </xf>
    <xf numFmtId="169" fontId="11" fillId="34" borderId="18" xfId="0" applyNumberFormat="1" applyFont="1" applyFill="1" applyBorder="1" applyAlignment="1">
      <alignment horizontal="left" vertical="center" wrapText="1"/>
    </xf>
    <xf numFmtId="169" fontId="11" fillId="34" borderId="13" xfId="0" applyNumberFormat="1" applyFont="1" applyFill="1" applyBorder="1" applyAlignment="1">
      <alignment horizontal="left" vertical="center" wrapText="1"/>
    </xf>
    <xf numFmtId="0" fontId="0" fillId="0" borderId="0" xfId="0" applyFill="1" applyBorder="1" applyAlignment="1">
      <alignment horizontal="center"/>
    </xf>
    <xf numFmtId="0" fontId="11" fillId="36" borderId="25" xfId="0" applyFont="1" applyFill="1" applyBorder="1" applyAlignment="1">
      <alignment horizontal="center" vertical="center"/>
    </xf>
    <xf numFmtId="0" fontId="11" fillId="36" borderId="17" xfId="0" applyFont="1" applyFill="1" applyBorder="1" applyAlignment="1">
      <alignment horizontal="center" vertical="center"/>
    </xf>
    <xf numFmtId="169" fontId="11" fillId="34" borderId="12" xfId="0" applyNumberFormat="1" applyFont="1" applyFill="1" applyBorder="1" applyAlignment="1">
      <alignment horizontal="left"/>
    </xf>
    <xf numFmtId="169" fontId="11" fillId="34" borderId="18" xfId="0" applyNumberFormat="1" applyFont="1" applyFill="1" applyBorder="1" applyAlignment="1">
      <alignment horizontal="left"/>
    </xf>
    <xf numFmtId="169" fontId="11" fillId="34" borderId="13" xfId="0" applyNumberFormat="1" applyFont="1" applyFill="1" applyBorder="1" applyAlignment="1">
      <alignment horizontal="left"/>
    </xf>
    <xf numFmtId="0" fontId="0" fillId="36" borderId="12" xfId="0" applyFill="1" applyBorder="1" applyAlignment="1">
      <alignment horizontal="center"/>
    </xf>
    <xf numFmtId="0" fontId="5" fillId="36" borderId="18" xfId="0" applyFont="1" applyFill="1" applyBorder="1" applyAlignment="1">
      <alignment horizontal="center"/>
    </xf>
    <xf numFmtId="0" fontId="7" fillId="0" borderId="0" xfId="0" applyFont="1" applyFill="1" applyBorder="1" applyAlignment="1">
      <alignment horizontal="left"/>
    </xf>
    <xf numFmtId="0" fontId="10" fillId="0" borderId="0" xfId="0" applyFont="1" applyFill="1" applyBorder="1" applyAlignment="1">
      <alignment horizontal="left"/>
    </xf>
    <xf numFmtId="0" fontId="0" fillId="36" borderId="13" xfId="0" applyFill="1" applyBorder="1" applyAlignment="1">
      <alignment horizontal="center"/>
    </xf>
    <xf numFmtId="0" fontId="9" fillId="34" borderId="0" xfId="58" applyFont="1" applyFill="1" applyAlignment="1">
      <alignment horizontal="left" vertical="center"/>
      <protection/>
    </xf>
    <xf numFmtId="0" fontId="2" fillId="0" borderId="0" xfId="44" applyNumberFormat="1" applyFont="1" applyAlignment="1">
      <alignment horizontal="center"/>
    </xf>
    <xf numFmtId="0" fontId="1" fillId="35" borderId="0" xfId="0" applyFont="1" applyFill="1" applyAlignment="1">
      <alignment horizontal="center"/>
    </xf>
    <xf numFmtId="0" fontId="3" fillId="35" borderId="12" xfId="0" applyFont="1" applyFill="1" applyBorder="1" applyAlignment="1">
      <alignment horizontal="center"/>
    </xf>
    <xf numFmtId="0" fontId="3" fillId="35" borderId="18" xfId="0" applyFont="1" applyFill="1" applyBorder="1" applyAlignment="1">
      <alignment horizontal="center"/>
    </xf>
    <xf numFmtId="0" fontId="3" fillId="35" borderId="13" xfId="0" applyFont="1" applyFill="1" applyBorder="1" applyAlignment="1">
      <alignment horizontal="center"/>
    </xf>
    <xf numFmtId="0" fontId="11" fillId="34" borderId="21"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12" xfId="0" applyFont="1" applyFill="1" applyBorder="1" applyAlignment="1">
      <alignment horizontal="center"/>
    </xf>
    <xf numFmtId="0" fontId="11" fillId="34" borderId="13" xfId="0" applyFont="1" applyFill="1" applyBorder="1" applyAlignment="1">
      <alignment horizontal="center"/>
    </xf>
    <xf numFmtId="0" fontId="0" fillId="35" borderId="0" xfId="0" applyFill="1" applyAlignment="1">
      <alignment horizontal="center"/>
    </xf>
    <xf numFmtId="0" fontId="11" fillId="34" borderId="21" xfId="0" applyFont="1" applyFill="1" applyBorder="1" applyAlignment="1">
      <alignment horizontal="center" vertical="center" wrapText="1"/>
    </xf>
    <xf numFmtId="0" fontId="11" fillId="34" borderId="27" xfId="0" applyFont="1" applyFill="1" applyBorder="1" applyAlignment="1">
      <alignment horizontal="center" vertical="center" wrapText="1"/>
    </xf>
    <xf numFmtId="0" fontId="0" fillId="35" borderId="12" xfId="0" applyFill="1" applyBorder="1" applyAlignment="1">
      <alignment horizontal="center"/>
    </xf>
    <xf numFmtId="0" fontId="0" fillId="35" borderId="18" xfId="0" applyFill="1" applyBorder="1" applyAlignment="1">
      <alignment horizontal="center"/>
    </xf>
    <xf numFmtId="0" fontId="0" fillId="35" borderId="13" xfId="0" applyFill="1" applyBorder="1" applyAlignment="1">
      <alignment horizontal="center"/>
    </xf>
    <xf numFmtId="0" fontId="7" fillId="39" borderId="11" xfId="58" applyFont="1" applyFill="1" applyBorder="1" applyAlignment="1">
      <alignment horizontal="left" vertical="center"/>
      <protection/>
    </xf>
    <xf numFmtId="0" fontId="7" fillId="34" borderId="21" xfId="58" applyFont="1" applyFill="1" applyBorder="1" applyAlignment="1">
      <alignment horizontal="center"/>
      <protection/>
    </xf>
    <xf numFmtId="0" fontId="7" fillId="34" borderId="15" xfId="58" applyFont="1" applyFill="1" applyBorder="1" applyAlignment="1">
      <alignment horizontal="center"/>
      <protection/>
    </xf>
    <xf numFmtId="0" fontId="7" fillId="34" borderId="27" xfId="58" applyFont="1" applyFill="1" applyBorder="1" applyAlignment="1">
      <alignment horizontal="center"/>
      <protection/>
    </xf>
    <xf numFmtId="0" fontId="2" fillId="35" borderId="11" xfId="58" applyFont="1" applyFill="1" applyBorder="1" applyAlignment="1">
      <alignment horizontal="center"/>
      <protection/>
    </xf>
    <xf numFmtId="0" fontId="0" fillId="35" borderId="0" xfId="58" applyFill="1" applyAlignment="1">
      <alignment horizontal="center"/>
      <protection/>
    </xf>
    <xf numFmtId="0" fontId="7" fillId="34" borderId="11" xfId="58" applyFont="1" applyFill="1" applyBorder="1" applyAlignment="1">
      <alignment horizontal="center"/>
      <protection/>
    </xf>
    <xf numFmtId="0" fontId="0" fillId="35" borderId="11" xfId="58" applyFill="1" applyBorder="1" applyAlignment="1">
      <alignment horizontal="center"/>
      <protection/>
    </xf>
    <xf numFmtId="0" fontId="3" fillId="34" borderId="0" xfId="58" applyFont="1" applyFill="1" applyAlignment="1">
      <alignment horizontal="left" vertical="center"/>
      <protection/>
    </xf>
    <xf numFmtId="0" fontId="1" fillId="35" borderId="0" xfId="58" applyFont="1" applyFill="1" applyAlignment="1">
      <alignment horizontal="center"/>
      <protection/>
    </xf>
    <xf numFmtId="0" fontId="3" fillId="35" borderId="0" xfId="58" applyFont="1" applyFill="1" applyAlignment="1">
      <alignment horizontal="center"/>
      <protection/>
    </xf>
    <xf numFmtId="0" fontId="22" fillId="0" borderId="0" xfId="58" applyFont="1" applyBorder="1" applyAlignment="1">
      <alignment horizontal="center" vertical="center"/>
      <protection/>
    </xf>
    <xf numFmtId="0" fontId="7" fillId="34" borderId="11" xfId="58" applyFont="1" applyFill="1" applyBorder="1" applyAlignment="1">
      <alignment horizontal="center" vertical="center"/>
      <protection/>
    </xf>
    <xf numFmtId="0" fontId="7" fillId="34" borderId="12" xfId="58" applyFont="1" applyFill="1" applyBorder="1" applyAlignment="1">
      <alignment horizontal="center" vertical="center"/>
      <protection/>
    </xf>
    <xf numFmtId="0" fontId="7" fillId="34" borderId="13" xfId="58" applyFont="1" applyFill="1" applyBorder="1" applyAlignment="1">
      <alignment horizontal="center" vertical="center"/>
      <protection/>
    </xf>
    <xf numFmtId="0" fontId="22" fillId="0" borderId="0" xfId="58" applyFont="1" applyBorder="1" applyAlignment="1">
      <alignment horizontal="left" vertical="center" wrapText="1"/>
      <protection/>
    </xf>
    <xf numFmtId="0" fontId="3" fillId="34" borderId="0" xfId="0" applyFont="1" applyFill="1" applyAlignment="1">
      <alignment vertical="center"/>
    </xf>
    <xf numFmtId="0" fontId="7" fillId="36" borderId="24" xfId="0" applyFont="1" applyFill="1" applyBorder="1" applyAlignment="1">
      <alignment horizontal="center"/>
    </xf>
    <xf numFmtId="0" fontId="7" fillId="36" borderId="25" xfId="0" applyFont="1" applyFill="1" applyBorder="1" applyAlignment="1">
      <alignment horizontal="center"/>
    </xf>
    <xf numFmtId="0" fontId="7" fillId="36" borderId="0" xfId="0" applyFont="1" applyFill="1" applyAlignment="1">
      <alignment horizontal="center"/>
    </xf>
    <xf numFmtId="0" fontId="7" fillId="36" borderId="17" xfId="0" applyFont="1" applyFill="1" applyBorder="1" applyAlignment="1">
      <alignment horizontal="center"/>
    </xf>
    <xf numFmtId="0" fontId="11" fillId="34" borderId="21" xfId="0" applyFont="1" applyFill="1" applyBorder="1" applyAlignment="1">
      <alignment horizontal="center" vertical="center"/>
    </xf>
    <xf numFmtId="0" fontId="12" fillId="34" borderId="27" xfId="0" applyFont="1" applyFill="1" applyBorder="1" applyAlignment="1">
      <alignment vertical="center"/>
    </xf>
    <xf numFmtId="0" fontId="12" fillId="34" borderId="16" xfId="0" applyFont="1" applyFill="1" applyBorder="1" applyAlignment="1">
      <alignment wrapText="1"/>
    </xf>
    <xf numFmtId="0" fontId="12" fillId="34" borderId="14" xfId="0" applyFont="1" applyFill="1" applyBorder="1" applyAlignment="1">
      <alignment vertical="center" wrapText="1"/>
    </xf>
    <xf numFmtId="0" fontId="12" fillId="34" borderId="0" xfId="0" applyFont="1" applyFill="1" applyAlignment="1">
      <alignment wrapText="1"/>
    </xf>
    <xf numFmtId="0" fontId="10" fillId="36" borderId="12" xfId="0" applyFont="1" applyFill="1" applyBorder="1" applyAlignment="1">
      <alignment horizontal="center"/>
    </xf>
    <xf numFmtId="0" fontId="10" fillId="36" borderId="18" xfId="0" applyFont="1" applyFill="1" applyBorder="1" applyAlignment="1">
      <alignment horizontal="center"/>
    </xf>
    <xf numFmtId="0" fontId="13" fillId="37" borderId="16" xfId="0" applyFont="1" applyFill="1" applyBorder="1" applyAlignment="1">
      <alignment horizontal="left" vertical="center" wrapText="1"/>
    </xf>
    <xf numFmtId="0" fontId="13" fillId="37" borderId="0" xfId="0" applyFont="1" applyFill="1" applyAlignment="1">
      <alignment horizontal="left" vertical="center" wrapText="1"/>
    </xf>
    <xf numFmtId="0" fontId="7" fillId="34" borderId="12" xfId="0" applyFont="1" applyFill="1" applyBorder="1" applyAlignment="1">
      <alignment horizontal="left"/>
    </xf>
    <xf numFmtId="0" fontId="7" fillId="34" borderId="18" xfId="0" applyFont="1" applyFill="1" applyBorder="1" applyAlignment="1">
      <alignment horizontal="left"/>
    </xf>
    <xf numFmtId="0" fontId="7" fillId="34" borderId="13" xfId="0" applyFont="1" applyFill="1" applyBorder="1" applyAlignment="1">
      <alignment horizontal="left"/>
    </xf>
    <xf numFmtId="0" fontId="7" fillId="34" borderId="12" xfId="0" applyFont="1" applyFill="1" applyBorder="1" applyAlignment="1">
      <alignment horizontal="left" vertical="center"/>
    </xf>
    <xf numFmtId="0" fontId="7" fillId="34" borderId="13" xfId="0" applyFont="1" applyFill="1" applyBorder="1" applyAlignment="1">
      <alignment horizontal="left" vertical="center"/>
    </xf>
    <xf numFmtId="4" fontId="7" fillId="35" borderId="22" xfId="0" applyNumberFormat="1" applyFont="1" applyFill="1" applyBorder="1" applyAlignment="1" applyProtection="1">
      <alignment horizontal="center"/>
      <protection locked="0"/>
    </xf>
    <xf numFmtId="0" fontId="0" fillId="0" borderId="19"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Note 2"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161925</xdr:rowOff>
    </xdr:from>
    <xdr:to>
      <xdr:col>1</xdr:col>
      <xdr:colOff>1238250</xdr:colOff>
      <xdr:row>5</xdr:row>
      <xdr:rowOff>133350</xdr:rowOff>
    </xdr:to>
    <xdr:pic>
      <xdr:nvPicPr>
        <xdr:cNvPr id="1" name="Picture 2"/>
        <xdr:cNvPicPr preferRelativeResize="1">
          <a:picLocks noChangeAspect="1"/>
        </xdr:cNvPicPr>
      </xdr:nvPicPr>
      <xdr:blipFill>
        <a:blip r:embed="rId1"/>
        <a:stretch>
          <a:fillRect/>
        </a:stretch>
      </xdr:blipFill>
      <xdr:spPr>
        <a:xfrm>
          <a:off x="123825" y="161925"/>
          <a:ext cx="25622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6600"/>
  </sheetPr>
  <dimension ref="A8:B34"/>
  <sheetViews>
    <sheetView zoomScale="110" zoomScaleNormal="110" zoomScalePageLayoutView="0" workbookViewId="0" topLeftCell="A1">
      <selection activeCell="B34" sqref="B34"/>
    </sheetView>
  </sheetViews>
  <sheetFormatPr defaultColWidth="9.140625" defaultRowHeight="12.75"/>
  <cols>
    <col min="1" max="1" width="21.7109375" style="0" customWidth="1"/>
    <col min="2" max="2" width="88.8515625" style="0" customWidth="1"/>
  </cols>
  <sheetData>
    <row r="8" spans="1:2" s="170" customFormat="1" ht="23.25" customHeight="1">
      <c r="A8" s="204"/>
      <c r="B8" s="204" t="s">
        <v>428</v>
      </c>
    </row>
    <row r="9" s="170" customFormat="1" ht="23.25" customHeight="1">
      <c r="B9" s="203" t="s">
        <v>415</v>
      </c>
    </row>
    <row r="10" s="170" customFormat="1" ht="39" customHeight="1">
      <c r="B10" s="176" t="s">
        <v>405</v>
      </c>
    </row>
    <row r="11" s="170" customFormat="1" ht="12.75"/>
    <row r="12" spans="1:2" s="170" customFormat="1" ht="15.75">
      <c r="A12" s="229" t="s">
        <v>412</v>
      </c>
      <c r="B12" s="229" t="s">
        <v>403</v>
      </c>
    </row>
    <row r="13" spans="1:2" s="170" customFormat="1" ht="63.75" customHeight="1">
      <c r="A13" s="175" t="s">
        <v>407</v>
      </c>
      <c r="B13" s="176" t="s">
        <v>429</v>
      </c>
    </row>
    <row r="14" spans="1:2" s="170" customFormat="1" ht="12" customHeight="1">
      <c r="A14" s="175"/>
      <c r="B14" s="176"/>
    </row>
    <row r="15" spans="1:2" s="170" customFormat="1" ht="43.5" customHeight="1">
      <c r="A15" s="175" t="s">
        <v>399</v>
      </c>
      <c r="B15" s="170" t="s">
        <v>430</v>
      </c>
    </row>
    <row r="16" spans="1:2" s="170" customFormat="1" ht="12.75">
      <c r="A16" s="175"/>
      <c r="B16" s="176"/>
    </row>
    <row r="17" spans="1:2" s="170" customFormat="1" ht="35.25" customHeight="1">
      <c r="A17" s="175" t="s">
        <v>414</v>
      </c>
      <c r="B17" s="176" t="s">
        <v>431</v>
      </c>
    </row>
    <row r="18" spans="1:2" s="170" customFormat="1" ht="12.75">
      <c r="A18" s="175"/>
      <c r="B18" s="176"/>
    </row>
    <row r="19" spans="1:2" s="170" customFormat="1" ht="49.5" customHeight="1">
      <c r="A19" s="175" t="s">
        <v>49</v>
      </c>
      <c r="B19" s="170" t="s">
        <v>432</v>
      </c>
    </row>
    <row r="20" spans="1:2" s="170" customFormat="1" ht="12.75">
      <c r="A20" s="175"/>
      <c r="B20" s="176"/>
    </row>
    <row r="21" spans="1:2" s="170" customFormat="1" ht="51.75" customHeight="1">
      <c r="A21" s="175" t="s">
        <v>40</v>
      </c>
      <c r="B21" s="170" t="s">
        <v>433</v>
      </c>
    </row>
    <row r="22" spans="1:2" s="170" customFormat="1" ht="12.75">
      <c r="A22" s="175"/>
      <c r="B22" s="176"/>
    </row>
    <row r="23" spans="1:2" s="170" customFormat="1" ht="45.75" customHeight="1">
      <c r="A23" s="175" t="s">
        <v>400</v>
      </c>
      <c r="B23" s="170" t="s">
        <v>434</v>
      </c>
    </row>
    <row r="24" spans="1:2" s="170" customFormat="1" ht="12.75">
      <c r="A24" s="175"/>
      <c r="B24" s="176"/>
    </row>
    <row r="25" spans="1:2" s="170" customFormat="1" ht="49.5" customHeight="1">
      <c r="A25" s="175" t="s">
        <v>401</v>
      </c>
      <c r="B25" s="176" t="s">
        <v>435</v>
      </c>
    </row>
    <row r="26" spans="1:2" s="170" customFormat="1" ht="12.75">
      <c r="A26" s="175"/>
      <c r="B26" s="176"/>
    </row>
    <row r="27" spans="1:2" s="170" customFormat="1" ht="42.75" customHeight="1">
      <c r="A27" s="175" t="s">
        <v>402</v>
      </c>
      <c r="B27" s="170" t="s">
        <v>426</v>
      </c>
    </row>
    <row r="28" spans="1:2" s="170" customFormat="1" ht="12.75">
      <c r="A28" s="175"/>
      <c r="B28" s="176"/>
    </row>
    <row r="29" spans="1:2" s="170" customFormat="1" ht="54.75" customHeight="1">
      <c r="A29" s="175" t="s">
        <v>425</v>
      </c>
      <c r="B29" s="176" t="s">
        <v>436</v>
      </c>
    </row>
    <row r="30" spans="1:2" s="170" customFormat="1" ht="12.75">
      <c r="A30" s="175"/>
      <c r="B30" s="176"/>
    </row>
    <row r="31" spans="1:2" s="170" customFormat="1" ht="24.75" customHeight="1">
      <c r="A31" s="175" t="s">
        <v>406</v>
      </c>
      <c r="B31" s="170" t="s">
        <v>437</v>
      </c>
    </row>
    <row r="32" s="170" customFormat="1" ht="12.75"/>
    <row r="33" s="170" customFormat="1" ht="12.75"/>
    <row r="34" spans="1:2" s="170" customFormat="1" ht="45" customHeight="1">
      <c r="A34" s="205"/>
      <c r="B34" s="205" t="s">
        <v>416</v>
      </c>
    </row>
    <row r="35" s="170" customFormat="1" ht="12.75"/>
  </sheetData>
  <sheetProtection sheet="1" formatCells="0" selectLockedCells="1"/>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rgb="FF002060"/>
    <pageSetUpPr fitToPage="1"/>
  </sheetPr>
  <dimension ref="A1:I31"/>
  <sheetViews>
    <sheetView zoomScalePageLayoutView="0" workbookViewId="0" topLeftCell="A1">
      <pane ySplit="5" topLeftCell="A6" activePane="bottomLeft" state="frozen"/>
      <selection pane="topLeft" activeCell="I39" sqref="I39"/>
      <selection pane="bottomLeft" activeCell="I39" sqref="I39"/>
    </sheetView>
  </sheetViews>
  <sheetFormatPr defaultColWidth="9.140625" defaultRowHeight="12.75"/>
  <cols>
    <col min="1" max="1" width="30.8515625" style="0" customWidth="1"/>
    <col min="2" max="2" width="10.28125" style="0" customWidth="1"/>
    <col min="3" max="3" width="9.7109375" style="0" customWidth="1"/>
    <col min="4" max="4" width="9.57421875" style="0" customWidth="1"/>
    <col min="5" max="5" width="15.421875" style="0" customWidth="1"/>
    <col min="6" max="6" width="13.421875" style="0" customWidth="1"/>
    <col min="7" max="7" width="11.8515625" style="0" customWidth="1"/>
    <col min="8" max="8" width="1.8515625" style="0" customWidth="1"/>
    <col min="9" max="9" width="23.8515625" style="0" customWidth="1"/>
    <col min="10" max="10" width="1.7109375" style="0" customWidth="1"/>
    <col min="11" max="11" width="1.421875" style="0" customWidth="1"/>
    <col min="12" max="12" width="0.85546875" style="0" customWidth="1"/>
  </cols>
  <sheetData>
    <row r="1" spans="1:9" ht="34.5" customHeight="1">
      <c r="A1" s="325" t="s">
        <v>92</v>
      </c>
      <c r="B1" s="338"/>
      <c r="C1" s="338"/>
      <c r="D1" s="338"/>
      <c r="E1" s="338"/>
      <c r="F1" s="338"/>
      <c r="G1" s="339"/>
      <c r="H1" s="287"/>
      <c r="I1" s="90" t="s">
        <v>167</v>
      </c>
    </row>
    <row r="2" spans="1:9" ht="21.75" customHeight="1">
      <c r="A2" s="305" t="s">
        <v>50</v>
      </c>
      <c r="B2" s="308" t="s">
        <v>71</v>
      </c>
      <c r="C2" s="308" t="s">
        <v>72</v>
      </c>
      <c r="D2" s="308" t="s">
        <v>13</v>
      </c>
      <c r="E2" s="308" t="s">
        <v>102</v>
      </c>
      <c r="F2" s="308" t="s">
        <v>103</v>
      </c>
      <c r="G2" s="303" t="s">
        <v>101</v>
      </c>
      <c r="H2" s="288"/>
      <c r="I2" s="296" t="s">
        <v>168</v>
      </c>
    </row>
    <row r="3" spans="1:9" ht="13.5" customHeight="1">
      <c r="A3" s="306"/>
      <c r="B3" s="309"/>
      <c r="C3" s="313"/>
      <c r="D3" s="313"/>
      <c r="E3" s="309"/>
      <c r="F3" s="309"/>
      <c r="G3" s="304"/>
      <c r="H3" s="288"/>
      <c r="I3" s="296"/>
    </row>
    <row r="4" spans="1:8" ht="14.25" customHeight="1">
      <c r="A4" s="110" t="s">
        <v>96</v>
      </c>
      <c r="B4" s="47">
        <f>MACH1920!C146</f>
        <v>40.10999999999999</v>
      </c>
      <c r="C4" s="47">
        <f>MACH1920!D146</f>
        <v>7.695600000000001</v>
      </c>
      <c r="D4" s="80">
        <f>SUM(D6:D25)</f>
        <v>0</v>
      </c>
      <c r="E4" s="47">
        <f>(B4*D4)</f>
        <v>0</v>
      </c>
      <c r="F4" s="47">
        <f>(C4*D4)</f>
        <v>0</v>
      </c>
      <c r="G4" s="74">
        <f>E4+F4</f>
        <v>0</v>
      </c>
      <c r="H4" s="288"/>
    </row>
    <row r="5" spans="1:8" ht="12.75" customHeight="1">
      <c r="A5" s="307"/>
      <c r="B5" s="307"/>
      <c r="C5" s="307"/>
      <c r="D5" s="307"/>
      <c r="E5" s="307"/>
      <c r="F5" s="307"/>
      <c r="G5" s="307"/>
      <c r="H5" s="288"/>
    </row>
    <row r="6" spans="1:8" ht="12.75">
      <c r="A6" s="21"/>
      <c r="B6" s="29"/>
      <c r="C6" s="29"/>
      <c r="D6" s="26"/>
      <c r="E6" s="7">
        <f aca="true" t="shared" si="0" ref="E6:E20">(B6*D6)</f>
        <v>0</v>
      </c>
      <c r="F6" s="7">
        <f aca="true" t="shared" si="1" ref="F6:F20">(C6*D6)</f>
        <v>0</v>
      </c>
      <c r="G6" s="73">
        <f aca="true" t="shared" si="2" ref="G6:G20">(E6+F6)</f>
        <v>0</v>
      </c>
      <c r="H6" s="288"/>
    </row>
    <row r="7" spans="1:8" ht="12.75">
      <c r="A7" s="21"/>
      <c r="B7" s="29"/>
      <c r="C7" s="29"/>
      <c r="D7" s="26"/>
      <c r="E7" s="7">
        <f t="shared" si="0"/>
        <v>0</v>
      </c>
      <c r="F7" s="7">
        <f t="shared" si="1"/>
        <v>0</v>
      </c>
      <c r="G7" s="73">
        <f t="shared" si="2"/>
        <v>0</v>
      </c>
      <c r="H7" s="288"/>
    </row>
    <row r="8" spans="1:8" ht="12.75">
      <c r="A8" s="21"/>
      <c r="B8" s="29"/>
      <c r="C8" s="29"/>
      <c r="D8" s="26"/>
      <c r="E8" s="7">
        <f t="shared" si="0"/>
        <v>0</v>
      </c>
      <c r="F8" s="7">
        <f t="shared" si="1"/>
        <v>0</v>
      </c>
      <c r="G8" s="73">
        <f t="shared" si="2"/>
        <v>0</v>
      </c>
      <c r="H8" s="288"/>
    </row>
    <row r="9" spans="1:8" ht="12.75">
      <c r="A9" s="21"/>
      <c r="B9" s="29"/>
      <c r="C9" s="29"/>
      <c r="D9" s="26"/>
      <c r="E9" s="7">
        <f t="shared" si="0"/>
        <v>0</v>
      </c>
      <c r="F9" s="7">
        <f t="shared" si="1"/>
        <v>0</v>
      </c>
      <c r="G9" s="73">
        <f t="shared" si="2"/>
        <v>0</v>
      </c>
      <c r="H9" s="288"/>
    </row>
    <row r="10" spans="1:8" ht="12.75">
      <c r="A10" s="21"/>
      <c r="B10" s="29"/>
      <c r="C10" s="29"/>
      <c r="D10" s="26"/>
      <c r="E10" s="7">
        <f t="shared" si="0"/>
        <v>0</v>
      </c>
      <c r="F10" s="7">
        <f t="shared" si="1"/>
        <v>0</v>
      </c>
      <c r="G10" s="73">
        <f t="shared" si="2"/>
        <v>0</v>
      </c>
      <c r="H10" s="288"/>
    </row>
    <row r="11" spans="1:8" ht="12.75">
      <c r="A11" s="21"/>
      <c r="B11" s="29"/>
      <c r="C11" s="29"/>
      <c r="D11" s="26"/>
      <c r="E11" s="7">
        <f t="shared" si="0"/>
        <v>0</v>
      </c>
      <c r="F11" s="7">
        <f t="shared" si="1"/>
        <v>0</v>
      </c>
      <c r="G11" s="73">
        <f t="shared" si="2"/>
        <v>0</v>
      </c>
      <c r="H11" s="288"/>
    </row>
    <row r="12" spans="1:8" ht="12.75">
      <c r="A12" s="21"/>
      <c r="B12" s="29"/>
      <c r="C12" s="29"/>
      <c r="D12" s="26"/>
      <c r="E12" s="7">
        <f t="shared" si="0"/>
        <v>0</v>
      </c>
      <c r="F12" s="7">
        <f t="shared" si="1"/>
        <v>0</v>
      </c>
      <c r="G12" s="73">
        <f t="shared" si="2"/>
        <v>0</v>
      </c>
      <c r="H12" s="288"/>
    </row>
    <row r="13" spans="1:8" ht="12.75">
      <c r="A13" s="21"/>
      <c r="B13" s="29"/>
      <c r="C13" s="29"/>
      <c r="D13" s="25"/>
      <c r="E13" s="7">
        <f t="shared" si="0"/>
        <v>0</v>
      </c>
      <c r="F13" s="7">
        <f t="shared" si="1"/>
        <v>0</v>
      </c>
      <c r="G13" s="73">
        <f t="shared" si="2"/>
        <v>0</v>
      </c>
      <c r="H13" s="288"/>
    </row>
    <row r="14" spans="1:8" ht="12.75">
      <c r="A14" s="21"/>
      <c r="B14" s="29"/>
      <c r="C14" s="29"/>
      <c r="D14" s="25"/>
      <c r="E14" s="7">
        <f t="shared" si="0"/>
        <v>0</v>
      </c>
      <c r="F14" s="7">
        <f t="shared" si="1"/>
        <v>0</v>
      </c>
      <c r="G14" s="73">
        <f t="shared" si="2"/>
        <v>0</v>
      </c>
      <c r="H14" s="288"/>
    </row>
    <row r="15" spans="1:8" ht="12.75">
      <c r="A15" s="21"/>
      <c r="B15" s="29"/>
      <c r="C15" s="29"/>
      <c r="D15" s="25"/>
      <c r="E15" s="7">
        <f t="shared" si="0"/>
        <v>0</v>
      </c>
      <c r="F15" s="7">
        <f t="shared" si="1"/>
        <v>0</v>
      </c>
      <c r="G15" s="73">
        <f t="shared" si="2"/>
        <v>0</v>
      </c>
      <c r="H15" s="288"/>
    </row>
    <row r="16" spans="1:8" ht="12.75">
      <c r="A16" s="21"/>
      <c r="B16" s="29"/>
      <c r="C16" s="29"/>
      <c r="D16" s="25"/>
      <c r="E16" s="7">
        <f t="shared" si="0"/>
        <v>0</v>
      </c>
      <c r="F16" s="7">
        <f t="shared" si="1"/>
        <v>0</v>
      </c>
      <c r="G16" s="73">
        <f t="shared" si="2"/>
        <v>0</v>
      </c>
      <c r="H16" s="288"/>
    </row>
    <row r="17" spans="1:8" ht="12.75">
      <c r="A17" s="21"/>
      <c r="B17" s="29"/>
      <c r="C17" s="29"/>
      <c r="D17" s="25"/>
      <c r="E17" s="7">
        <f t="shared" si="0"/>
        <v>0</v>
      </c>
      <c r="F17" s="7">
        <f t="shared" si="1"/>
        <v>0</v>
      </c>
      <c r="G17" s="73">
        <f t="shared" si="2"/>
        <v>0</v>
      </c>
      <c r="H17" s="288"/>
    </row>
    <row r="18" spans="1:8" ht="12.75">
      <c r="A18" s="21"/>
      <c r="B18" s="29"/>
      <c r="C18" s="29"/>
      <c r="D18" s="25"/>
      <c r="E18" s="7">
        <f t="shared" si="0"/>
        <v>0</v>
      </c>
      <c r="F18" s="7">
        <f t="shared" si="1"/>
        <v>0</v>
      </c>
      <c r="G18" s="73">
        <f t="shared" si="2"/>
        <v>0</v>
      </c>
      <c r="H18" s="288"/>
    </row>
    <row r="19" spans="1:8" ht="12.75">
      <c r="A19" s="21"/>
      <c r="B19" s="29"/>
      <c r="C19" s="29"/>
      <c r="D19" s="25"/>
      <c r="E19" s="7">
        <f t="shared" si="0"/>
        <v>0</v>
      </c>
      <c r="F19" s="7">
        <f t="shared" si="1"/>
        <v>0</v>
      </c>
      <c r="G19" s="73">
        <f t="shared" si="2"/>
        <v>0</v>
      </c>
      <c r="H19" s="288"/>
    </row>
    <row r="20" spans="1:8" ht="12.75">
      <c r="A20" s="21"/>
      <c r="B20" s="29"/>
      <c r="C20" s="29"/>
      <c r="D20" s="25"/>
      <c r="E20" s="7">
        <f t="shared" si="0"/>
        <v>0</v>
      </c>
      <c r="F20" s="7">
        <f t="shared" si="1"/>
        <v>0</v>
      </c>
      <c r="G20" s="73">
        <f t="shared" si="2"/>
        <v>0</v>
      </c>
      <c r="H20" s="288"/>
    </row>
    <row r="21" spans="1:8" ht="12.75">
      <c r="A21" s="78"/>
      <c r="B21" s="29"/>
      <c r="C21" s="29"/>
      <c r="D21" s="79"/>
      <c r="E21" s="7">
        <f>(B21*D21)</f>
        <v>0</v>
      </c>
      <c r="F21" s="7">
        <f>(C21*D21)</f>
        <v>0</v>
      </c>
      <c r="G21" s="73">
        <f>(E21+F21)</f>
        <v>0</v>
      </c>
      <c r="H21" s="288"/>
    </row>
    <row r="22" spans="1:8" ht="12.75">
      <c r="A22" s="78"/>
      <c r="B22" s="29"/>
      <c r="C22" s="29"/>
      <c r="D22" s="79"/>
      <c r="E22" s="7">
        <f>(B22*D22)</f>
        <v>0</v>
      </c>
      <c r="F22" s="7">
        <f>(C22*D22)</f>
        <v>0</v>
      </c>
      <c r="G22" s="73">
        <f>(E22+F22)</f>
        <v>0</v>
      </c>
      <c r="H22" s="288"/>
    </row>
    <row r="23" spans="1:8" ht="12.75">
      <c r="A23" s="78"/>
      <c r="B23" s="29"/>
      <c r="C23" s="29"/>
      <c r="D23" s="79"/>
      <c r="E23" s="7">
        <f>(B23*D23)</f>
        <v>0</v>
      </c>
      <c r="F23" s="7">
        <f>(C23*D23)</f>
        <v>0</v>
      </c>
      <c r="G23" s="73">
        <f>(E23+F23)</f>
        <v>0</v>
      </c>
      <c r="H23" s="288"/>
    </row>
    <row r="24" spans="1:8" ht="12.75">
      <c r="A24" s="78"/>
      <c r="B24" s="29"/>
      <c r="C24" s="29"/>
      <c r="D24" s="79"/>
      <c r="E24" s="7">
        <f>(B24*D24)</f>
        <v>0</v>
      </c>
      <c r="F24" s="7">
        <f>(C24*D24)</f>
        <v>0</v>
      </c>
      <c r="G24" s="73">
        <f>(E24+F24)</f>
        <v>0</v>
      </c>
      <c r="H24" s="288"/>
    </row>
    <row r="25" spans="1:8" ht="12.75">
      <c r="A25" s="78"/>
      <c r="B25" s="29"/>
      <c r="C25" s="29"/>
      <c r="D25" s="79"/>
      <c r="E25" s="7">
        <f>(B25*D25)</f>
        <v>0</v>
      </c>
      <c r="F25" s="7">
        <f>(C25*D25)</f>
        <v>0</v>
      </c>
      <c r="G25" s="73">
        <f>(E25+F25)</f>
        <v>0</v>
      </c>
      <c r="H25" s="288"/>
    </row>
    <row r="26" spans="1:8" ht="10.5" customHeight="1">
      <c r="A26" s="277"/>
      <c r="B26" s="277"/>
      <c r="C26" s="277"/>
      <c r="D26" s="277"/>
      <c r="E26" s="277"/>
      <c r="F26" s="277"/>
      <c r="G26" s="277"/>
      <c r="H26" s="288"/>
    </row>
    <row r="27" spans="1:8" ht="15">
      <c r="A27" s="297" t="s">
        <v>154</v>
      </c>
      <c r="B27" s="298"/>
      <c r="C27" s="298"/>
      <c r="D27" s="299"/>
      <c r="E27" s="34">
        <f>SUM(E6:E25)</f>
        <v>0</v>
      </c>
      <c r="F27" s="34">
        <f>SUM(F6:F25)</f>
        <v>0</v>
      </c>
      <c r="G27" s="75">
        <f>(E27+F27)</f>
        <v>0</v>
      </c>
      <c r="H27" s="288"/>
    </row>
    <row r="28" spans="1:8" ht="15">
      <c r="A28" s="297" t="s">
        <v>27</v>
      </c>
      <c r="B28" s="298"/>
      <c r="C28" s="298"/>
      <c r="D28" s="299"/>
      <c r="E28" s="34">
        <f>E4</f>
        <v>0</v>
      </c>
      <c r="F28" s="34">
        <f>F4</f>
        <v>0</v>
      </c>
      <c r="G28" s="75">
        <f>E28+F28</f>
        <v>0</v>
      </c>
      <c r="H28" s="288"/>
    </row>
    <row r="29" spans="1:8" ht="15" customHeight="1">
      <c r="A29" s="300" t="s">
        <v>43</v>
      </c>
      <c r="B29" s="301"/>
      <c r="C29" s="301"/>
      <c r="D29" s="302"/>
      <c r="E29" s="47">
        <f>E27+E28</f>
        <v>0</v>
      </c>
      <c r="F29" s="47">
        <f>F27+F28</f>
        <v>0</v>
      </c>
      <c r="G29" s="74">
        <f>G27+G28</f>
        <v>0</v>
      </c>
      <c r="H29" s="288"/>
    </row>
    <row r="30" spans="1:8" ht="34.5" customHeight="1">
      <c r="A30" s="293" t="s">
        <v>86</v>
      </c>
      <c r="B30" s="294"/>
      <c r="C30" s="295"/>
      <c r="D30" s="174"/>
      <c r="E30" s="319"/>
      <c r="F30" s="320"/>
      <c r="G30" s="74">
        <f>(D30*D4)</f>
        <v>0</v>
      </c>
      <c r="H30" s="288"/>
    </row>
    <row r="31" spans="1:8" ht="11.25" customHeight="1">
      <c r="A31" s="290"/>
      <c r="B31" s="290"/>
      <c r="C31" s="290"/>
      <c r="D31" s="290"/>
      <c r="E31" s="290"/>
      <c r="F31" s="290"/>
      <c r="G31" s="290"/>
      <c r="H31" s="289"/>
    </row>
  </sheetData>
  <sheetProtection sheet="1"/>
  <mergeCells count="18">
    <mergeCell ref="A31:G31"/>
    <mergeCell ref="A1:G1"/>
    <mergeCell ref="D2:D3"/>
    <mergeCell ref="E2:E3"/>
    <mergeCell ref="F2:F3"/>
    <mergeCell ref="G2:G3"/>
    <mergeCell ref="A2:A3"/>
    <mergeCell ref="A30:C30"/>
    <mergeCell ref="I2:I3"/>
    <mergeCell ref="E30:F30"/>
    <mergeCell ref="A28:D28"/>
    <mergeCell ref="A27:D27"/>
    <mergeCell ref="A29:D29"/>
    <mergeCell ref="B2:B3"/>
    <mergeCell ref="C2:C3"/>
    <mergeCell ref="A26:G26"/>
    <mergeCell ref="A5:G5"/>
    <mergeCell ref="H1:H31"/>
  </mergeCells>
  <printOptions gridLines="1"/>
  <pageMargins left="0.75" right="0.75" top="1" bottom="1" header="0.5" footer="0.5"/>
  <pageSetup blackAndWhite="1" fitToHeight="1" fitToWidth="1" horizontalDpi="300" verticalDpi="300" orientation="portrait" scale="75" r:id="rId1"/>
</worksheet>
</file>

<file path=xl/worksheets/sheet11.xml><?xml version="1.0" encoding="utf-8"?>
<worksheet xmlns="http://schemas.openxmlformats.org/spreadsheetml/2006/main" xmlns:r="http://schemas.openxmlformats.org/officeDocument/2006/relationships">
  <sheetPr>
    <tabColor rgb="FF002060"/>
  </sheetPr>
  <dimension ref="A1:I31"/>
  <sheetViews>
    <sheetView zoomScalePageLayoutView="0" workbookViewId="0" topLeftCell="A1">
      <pane ySplit="5" topLeftCell="A6" activePane="bottomLeft" state="frozen"/>
      <selection pane="topLeft" activeCell="I39" sqref="I39"/>
      <selection pane="bottomLeft" activeCell="D30" sqref="D30"/>
    </sheetView>
  </sheetViews>
  <sheetFormatPr defaultColWidth="9.140625" defaultRowHeight="12.75"/>
  <cols>
    <col min="1" max="1" width="31.57421875" style="0" customWidth="1"/>
    <col min="2" max="2" width="11.421875" style="0" customWidth="1"/>
    <col min="3" max="3" width="10.140625" style="0" customWidth="1"/>
    <col min="4" max="4" width="10.00390625" style="0" customWidth="1"/>
    <col min="5" max="5" width="16.00390625" style="0" customWidth="1"/>
    <col min="6" max="6" width="13.28125" style="0" customWidth="1"/>
    <col min="7" max="7" width="11.8515625" style="0" customWidth="1"/>
    <col min="8" max="8" width="1.8515625" style="0" customWidth="1"/>
    <col min="9" max="9" width="24.421875" style="0" customWidth="1"/>
    <col min="10" max="10" width="2.140625" style="0" customWidth="1"/>
    <col min="11" max="11" width="2.28125" style="0" customWidth="1"/>
    <col min="12" max="12" width="1.8515625" style="0" customWidth="1"/>
  </cols>
  <sheetData>
    <row r="1" spans="1:9" ht="33.75" customHeight="1">
      <c r="A1" s="310" t="s">
        <v>69</v>
      </c>
      <c r="B1" s="311"/>
      <c r="C1" s="311"/>
      <c r="D1" s="311"/>
      <c r="E1" s="311"/>
      <c r="F1" s="311"/>
      <c r="G1" s="312"/>
      <c r="H1" s="287"/>
      <c r="I1" s="90" t="s">
        <v>167</v>
      </c>
    </row>
    <row r="2" spans="1:9" ht="27.75" customHeight="1">
      <c r="A2" s="342" t="s">
        <v>50</v>
      </c>
      <c r="B2" s="308" t="s">
        <v>71</v>
      </c>
      <c r="C2" s="308" t="s">
        <v>72</v>
      </c>
      <c r="D2" s="308" t="s">
        <v>13</v>
      </c>
      <c r="E2" s="308" t="s">
        <v>102</v>
      </c>
      <c r="F2" s="308" t="s">
        <v>103</v>
      </c>
      <c r="G2" s="303" t="s">
        <v>104</v>
      </c>
      <c r="H2" s="288"/>
      <c r="I2" s="89" t="s">
        <v>168</v>
      </c>
    </row>
    <row r="3" spans="1:9" ht="19.5" customHeight="1">
      <c r="A3" s="343"/>
      <c r="B3" s="344"/>
      <c r="C3" s="344"/>
      <c r="D3" s="344"/>
      <c r="E3" s="309"/>
      <c r="F3" s="309"/>
      <c r="G3" s="304"/>
      <c r="H3" s="288"/>
      <c r="I3" s="89"/>
    </row>
    <row r="4" spans="1:8" ht="18" customHeight="1">
      <c r="A4" s="110" t="s">
        <v>95</v>
      </c>
      <c r="B4" s="47">
        <f>MACH1920!C147</f>
        <v>45.471999999999994</v>
      </c>
      <c r="C4" s="47">
        <f>MACH1920!D147</f>
        <v>8.58</v>
      </c>
      <c r="D4" s="80">
        <f>SUM(D6:D25)</f>
        <v>2.93</v>
      </c>
      <c r="E4" s="47">
        <f>(B4*D4)</f>
        <v>133.23296</v>
      </c>
      <c r="F4" s="47">
        <f>(C4*D4)</f>
        <v>25.139400000000002</v>
      </c>
      <c r="G4" s="74">
        <f>E4+F4</f>
        <v>158.37236</v>
      </c>
      <c r="H4" s="288"/>
    </row>
    <row r="5" spans="1:8" ht="8.25" customHeight="1">
      <c r="A5" s="307"/>
      <c r="B5" s="307"/>
      <c r="C5" s="307"/>
      <c r="D5" s="307"/>
      <c r="E5" s="307"/>
      <c r="F5" s="307"/>
      <c r="G5" s="307"/>
      <c r="H5" s="288"/>
    </row>
    <row r="6" spans="1:8" ht="12.75">
      <c r="A6" s="21" t="s">
        <v>116</v>
      </c>
      <c r="B6" s="29">
        <v>1.3439999999999999</v>
      </c>
      <c r="C6" s="29">
        <v>4.224</v>
      </c>
      <c r="D6" s="145">
        <v>0.33</v>
      </c>
      <c r="E6" s="7">
        <f aca="true" t="shared" si="0" ref="E6:E17">(B6*D6)</f>
        <v>0.44351999999999997</v>
      </c>
      <c r="F6" s="7">
        <f aca="true" t="shared" si="1" ref="F6:F17">(C6*D6)</f>
        <v>1.39392</v>
      </c>
      <c r="G6" s="73">
        <f aca="true" t="shared" si="2" ref="G6:G17">(E6+F6)</f>
        <v>1.83744</v>
      </c>
      <c r="H6" s="288"/>
    </row>
    <row r="7" spans="1:8" ht="12.75">
      <c r="A7" s="21" t="s">
        <v>373</v>
      </c>
      <c r="B7" s="29">
        <v>3.36</v>
      </c>
      <c r="C7" s="29">
        <v>4.3428</v>
      </c>
      <c r="D7" s="32">
        <v>0.8</v>
      </c>
      <c r="E7" s="7">
        <f t="shared" si="0"/>
        <v>2.688</v>
      </c>
      <c r="F7" s="7">
        <f t="shared" si="1"/>
        <v>3.4742400000000004</v>
      </c>
      <c r="G7" s="73">
        <f t="shared" si="2"/>
        <v>6.162240000000001</v>
      </c>
      <c r="H7" s="288"/>
    </row>
    <row r="8" spans="1:8" ht="12.75">
      <c r="A8" s="21" t="s">
        <v>374</v>
      </c>
      <c r="B8" s="29">
        <v>2.8139999999999996</v>
      </c>
      <c r="C8" s="29">
        <v>2.6664000000000003</v>
      </c>
      <c r="D8" s="32">
        <v>0.8</v>
      </c>
      <c r="E8" s="7">
        <f t="shared" si="0"/>
        <v>2.2512</v>
      </c>
      <c r="F8" s="7">
        <f t="shared" si="1"/>
        <v>2.1331200000000003</v>
      </c>
      <c r="G8" s="73">
        <f t="shared" si="2"/>
        <v>4.384320000000001</v>
      </c>
      <c r="H8" s="288"/>
    </row>
    <row r="9" spans="1:8" ht="12.75">
      <c r="A9" s="21" t="s">
        <v>375</v>
      </c>
      <c r="B9" s="29">
        <v>1.134</v>
      </c>
      <c r="C9" s="29">
        <v>5.016</v>
      </c>
      <c r="D9" s="32">
        <v>1</v>
      </c>
      <c r="E9" s="7">
        <f t="shared" si="0"/>
        <v>1.134</v>
      </c>
      <c r="F9" s="7">
        <f t="shared" si="1"/>
        <v>5.016</v>
      </c>
      <c r="G9" s="73">
        <f t="shared" si="2"/>
        <v>6.15</v>
      </c>
      <c r="H9" s="288"/>
    </row>
    <row r="10" spans="1:8" ht="12.75">
      <c r="A10" s="21"/>
      <c r="B10" s="29"/>
      <c r="C10" s="29"/>
      <c r="D10" s="26"/>
      <c r="E10" s="7">
        <f t="shared" si="0"/>
        <v>0</v>
      </c>
      <c r="F10" s="7">
        <f t="shared" si="1"/>
        <v>0</v>
      </c>
      <c r="G10" s="73">
        <f t="shared" si="2"/>
        <v>0</v>
      </c>
      <c r="H10" s="288"/>
    </row>
    <row r="11" spans="1:8" ht="12.75">
      <c r="A11" s="21"/>
      <c r="B11" s="29"/>
      <c r="C11" s="29"/>
      <c r="D11" s="26"/>
      <c r="E11" s="7">
        <f t="shared" si="0"/>
        <v>0</v>
      </c>
      <c r="F11" s="7">
        <f t="shared" si="1"/>
        <v>0</v>
      </c>
      <c r="G11" s="73">
        <f t="shared" si="2"/>
        <v>0</v>
      </c>
      <c r="H11" s="288"/>
    </row>
    <row r="12" spans="1:8" ht="12.75">
      <c r="A12" s="21"/>
      <c r="B12" s="29"/>
      <c r="C12" s="29"/>
      <c r="D12" s="26"/>
      <c r="E12" s="7">
        <f t="shared" si="0"/>
        <v>0</v>
      </c>
      <c r="F12" s="7">
        <f t="shared" si="1"/>
        <v>0</v>
      </c>
      <c r="G12" s="73">
        <f t="shared" si="2"/>
        <v>0</v>
      </c>
      <c r="H12" s="288"/>
    </row>
    <row r="13" spans="1:8" ht="12.75">
      <c r="A13" s="21"/>
      <c r="B13" s="29"/>
      <c r="C13" s="29"/>
      <c r="D13" s="26"/>
      <c r="E13" s="7">
        <f t="shared" si="0"/>
        <v>0</v>
      </c>
      <c r="F13" s="7">
        <f t="shared" si="1"/>
        <v>0</v>
      </c>
      <c r="G13" s="73">
        <f t="shared" si="2"/>
        <v>0</v>
      </c>
      <c r="H13" s="288"/>
    </row>
    <row r="14" spans="1:8" ht="12.75">
      <c r="A14" s="21"/>
      <c r="B14" s="29"/>
      <c r="C14" s="29"/>
      <c r="D14" s="26"/>
      <c r="E14" s="7">
        <f t="shared" si="0"/>
        <v>0</v>
      </c>
      <c r="F14" s="7">
        <f t="shared" si="1"/>
        <v>0</v>
      </c>
      <c r="G14" s="73">
        <f t="shared" si="2"/>
        <v>0</v>
      </c>
      <c r="H14" s="288"/>
    </row>
    <row r="15" spans="1:8" ht="12.75">
      <c r="A15" s="21"/>
      <c r="B15" s="29"/>
      <c r="C15" s="29"/>
      <c r="D15" s="25"/>
      <c r="E15" s="7">
        <f t="shared" si="0"/>
        <v>0</v>
      </c>
      <c r="F15" s="7">
        <f t="shared" si="1"/>
        <v>0</v>
      </c>
      <c r="G15" s="73">
        <f t="shared" si="2"/>
        <v>0</v>
      </c>
      <c r="H15" s="288"/>
    </row>
    <row r="16" spans="1:8" ht="12.75">
      <c r="A16" s="21"/>
      <c r="B16" s="29"/>
      <c r="C16" s="29"/>
      <c r="D16" s="25"/>
      <c r="E16" s="7">
        <f t="shared" si="0"/>
        <v>0</v>
      </c>
      <c r="F16" s="7">
        <f t="shared" si="1"/>
        <v>0</v>
      </c>
      <c r="G16" s="73">
        <f t="shared" si="2"/>
        <v>0</v>
      </c>
      <c r="H16" s="288"/>
    </row>
    <row r="17" spans="1:8" ht="12.75">
      <c r="A17" s="21"/>
      <c r="B17" s="29"/>
      <c r="C17" s="29"/>
      <c r="D17" s="25"/>
      <c r="E17" s="7">
        <f t="shared" si="0"/>
        <v>0</v>
      </c>
      <c r="F17" s="7">
        <f t="shared" si="1"/>
        <v>0</v>
      </c>
      <c r="G17" s="73">
        <f t="shared" si="2"/>
        <v>0</v>
      </c>
      <c r="H17" s="288"/>
    </row>
    <row r="18" spans="1:8" ht="12.75">
      <c r="A18" s="78"/>
      <c r="B18" s="29"/>
      <c r="C18" s="29"/>
      <c r="D18" s="79"/>
      <c r="E18" s="7">
        <f aca="true" t="shared" si="3" ref="E18:E25">(B18*D18)</f>
        <v>0</v>
      </c>
      <c r="F18" s="7">
        <f aca="true" t="shared" si="4" ref="F18:F25">(C18*D18)</f>
        <v>0</v>
      </c>
      <c r="G18" s="73">
        <f aca="true" t="shared" si="5" ref="G18:G25">(E18+F18)</f>
        <v>0</v>
      </c>
      <c r="H18" s="288"/>
    </row>
    <row r="19" spans="1:8" ht="12.75">
      <c r="A19" s="78"/>
      <c r="B19" s="29"/>
      <c r="C19" s="29"/>
      <c r="D19" s="79"/>
      <c r="E19" s="7">
        <f t="shared" si="3"/>
        <v>0</v>
      </c>
      <c r="F19" s="7">
        <f t="shared" si="4"/>
        <v>0</v>
      </c>
      <c r="G19" s="73">
        <f t="shared" si="5"/>
        <v>0</v>
      </c>
      <c r="H19" s="288"/>
    </row>
    <row r="20" spans="1:8" ht="12.75">
      <c r="A20" s="78"/>
      <c r="B20" s="29"/>
      <c r="C20" s="29"/>
      <c r="D20" s="79"/>
      <c r="E20" s="7">
        <f t="shared" si="3"/>
        <v>0</v>
      </c>
      <c r="F20" s="7">
        <f t="shared" si="4"/>
        <v>0</v>
      </c>
      <c r="G20" s="73">
        <f t="shared" si="5"/>
        <v>0</v>
      </c>
      <c r="H20" s="288"/>
    </row>
    <row r="21" spans="1:8" ht="12.75">
      <c r="A21" s="78"/>
      <c r="B21" s="29"/>
      <c r="C21" s="29"/>
      <c r="D21" s="79"/>
      <c r="E21" s="7">
        <f t="shared" si="3"/>
        <v>0</v>
      </c>
      <c r="F21" s="7">
        <f t="shared" si="4"/>
        <v>0</v>
      </c>
      <c r="G21" s="73">
        <f t="shared" si="5"/>
        <v>0</v>
      </c>
      <c r="H21" s="288"/>
    </row>
    <row r="22" spans="1:8" ht="12.75">
      <c r="A22" s="78"/>
      <c r="B22" s="29"/>
      <c r="C22" s="29"/>
      <c r="D22" s="79"/>
      <c r="E22" s="7">
        <f t="shared" si="3"/>
        <v>0</v>
      </c>
      <c r="F22" s="7">
        <f t="shared" si="4"/>
        <v>0</v>
      </c>
      <c r="G22" s="73">
        <f t="shared" si="5"/>
        <v>0</v>
      </c>
      <c r="H22" s="288"/>
    </row>
    <row r="23" spans="1:8" ht="12.75">
      <c r="A23" s="78"/>
      <c r="B23" s="29"/>
      <c r="C23" s="29"/>
      <c r="D23" s="79"/>
      <c r="E23" s="7">
        <f t="shared" si="3"/>
        <v>0</v>
      </c>
      <c r="F23" s="7">
        <f t="shared" si="4"/>
        <v>0</v>
      </c>
      <c r="G23" s="73">
        <f t="shared" si="5"/>
        <v>0</v>
      </c>
      <c r="H23" s="288"/>
    </row>
    <row r="24" spans="1:8" ht="12.75">
      <c r="A24" s="78"/>
      <c r="B24" s="29"/>
      <c r="C24" s="29"/>
      <c r="D24" s="79"/>
      <c r="E24" s="7">
        <f t="shared" si="3"/>
        <v>0</v>
      </c>
      <c r="F24" s="7">
        <f t="shared" si="4"/>
        <v>0</v>
      </c>
      <c r="G24" s="73">
        <f t="shared" si="5"/>
        <v>0</v>
      </c>
      <c r="H24" s="288"/>
    </row>
    <row r="25" spans="1:8" ht="12.75">
      <c r="A25" s="78"/>
      <c r="B25" s="29"/>
      <c r="C25" s="29"/>
      <c r="D25" s="79"/>
      <c r="E25" s="7">
        <f t="shared" si="3"/>
        <v>0</v>
      </c>
      <c r="F25" s="7">
        <f t="shared" si="4"/>
        <v>0</v>
      </c>
      <c r="G25" s="73">
        <f t="shared" si="5"/>
        <v>0</v>
      </c>
      <c r="H25" s="288"/>
    </row>
    <row r="26" spans="1:8" ht="10.5" customHeight="1">
      <c r="A26" s="277"/>
      <c r="B26" s="277"/>
      <c r="C26" s="277"/>
      <c r="D26" s="277"/>
      <c r="E26" s="277"/>
      <c r="F26" s="277"/>
      <c r="G26" s="277"/>
      <c r="H26" s="288"/>
    </row>
    <row r="27" spans="1:8" ht="15">
      <c r="A27" s="297" t="s">
        <v>154</v>
      </c>
      <c r="B27" s="298"/>
      <c r="C27" s="298"/>
      <c r="D27" s="299"/>
      <c r="E27" s="34">
        <f>SUM(E6:E25)</f>
        <v>6.516719999999999</v>
      </c>
      <c r="F27" s="34">
        <f>SUM(F6:F25)</f>
        <v>12.017280000000001</v>
      </c>
      <c r="G27" s="75">
        <f>(E27+F27)</f>
        <v>18.534</v>
      </c>
      <c r="H27" s="288"/>
    </row>
    <row r="28" spans="1:8" ht="15">
      <c r="A28" s="297" t="s">
        <v>27</v>
      </c>
      <c r="B28" s="298"/>
      <c r="C28" s="298"/>
      <c r="D28" s="299"/>
      <c r="E28" s="34">
        <f>E4</f>
        <v>133.23296</v>
      </c>
      <c r="F28" s="34">
        <f>F4</f>
        <v>25.139400000000002</v>
      </c>
      <c r="G28" s="75">
        <f>E28+F28</f>
        <v>158.37236</v>
      </c>
      <c r="H28" s="288"/>
    </row>
    <row r="29" spans="1:8" ht="15" customHeight="1">
      <c r="A29" s="300" t="s">
        <v>43</v>
      </c>
      <c r="B29" s="301"/>
      <c r="C29" s="301"/>
      <c r="D29" s="302"/>
      <c r="E29" s="47">
        <f>E27+E28</f>
        <v>139.74967999999998</v>
      </c>
      <c r="F29" s="47">
        <f>F27+F28</f>
        <v>37.15668</v>
      </c>
      <c r="G29" s="74">
        <f>G27+G28</f>
        <v>176.90635999999998</v>
      </c>
      <c r="H29" s="288"/>
    </row>
    <row r="30" spans="1:8" ht="33.75" customHeight="1">
      <c r="A30" s="293" t="s">
        <v>86</v>
      </c>
      <c r="B30" s="340"/>
      <c r="C30" s="341"/>
      <c r="D30" s="174">
        <v>20</v>
      </c>
      <c r="E30" s="319"/>
      <c r="F30" s="320"/>
      <c r="G30" s="74">
        <f>(D30*D4)</f>
        <v>58.6</v>
      </c>
      <c r="H30" s="288"/>
    </row>
    <row r="31" spans="1:8" ht="9.75" customHeight="1">
      <c r="A31" s="290"/>
      <c r="B31" s="290"/>
      <c r="C31" s="290"/>
      <c r="D31" s="290"/>
      <c r="E31" s="290"/>
      <c r="F31" s="290"/>
      <c r="G31" s="290"/>
      <c r="H31" s="289"/>
    </row>
  </sheetData>
  <sheetProtection sheet="1"/>
  <mergeCells count="17">
    <mergeCell ref="H1:H31"/>
    <mergeCell ref="A31:G31"/>
    <mergeCell ref="A26:G26"/>
    <mergeCell ref="A5:G5"/>
    <mergeCell ref="G2:G3"/>
    <mergeCell ref="A1:G1"/>
    <mergeCell ref="A2:A3"/>
    <mergeCell ref="B2:B3"/>
    <mergeCell ref="C2:C3"/>
    <mergeCell ref="D2:D3"/>
    <mergeCell ref="E2:E3"/>
    <mergeCell ref="F2:F3"/>
    <mergeCell ref="E30:F30"/>
    <mergeCell ref="A27:D27"/>
    <mergeCell ref="A28:D28"/>
    <mergeCell ref="A29:D29"/>
    <mergeCell ref="A30:C30"/>
  </mergeCells>
  <printOptions gridLines="1" verticalCentered="1"/>
  <pageMargins left="0" right="0" top="0" bottom="0" header="0" footer="0"/>
  <pageSetup blackAndWhite="1" horizontalDpi="300" verticalDpi="300" orientation="landscape" r:id="rId1"/>
</worksheet>
</file>

<file path=xl/worksheets/sheet12.xml><?xml version="1.0" encoding="utf-8"?>
<worksheet xmlns="http://schemas.openxmlformats.org/spreadsheetml/2006/main" xmlns:r="http://schemas.openxmlformats.org/officeDocument/2006/relationships">
  <sheetPr>
    <tabColor rgb="FF002060"/>
  </sheetPr>
  <dimension ref="A1:I31"/>
  <sheetViews>
    <sheetView zoomScalePageLayoutView="0" workbookViewId="0" topLeftCell="A1">
      <pane ySplit="5" topLeftCell="A9" activePane="bottomLeft" state="frozen"/>
      <selection pane="topLeft" activeCell="I39" sqref="I39"/>
      <selection pane="bottomLeft" activeCell="E15" sqref="E15"/>
    </sheetView>
  </sheetViews>
  <sheetFormatPr defaultColWidth="9.140625" defaultRowHeight="12.75"/>
  <cols>
    <col min="1" max="1" width="28.57421875" style="0" customWidth="1"/>
    <col min="2" max="2" width="12.140625" style="0" customWidth="1"/>
    <col min="3" max="3" width="10.7109375" style="0" customWidth="1"/>
    <col min="4" max="4" width="9.57421875" style="0" customWidth="1"/>
    <col min="5" max="5" width="16.140625" style="0" customWidth="1"/>
    <col min="6" max="6" width="12.7109375" style="0" customWidth="1"/>
    <col min="7" max="7" width="13.57421875" style="0" customWidth="1"/>
    <col min="8" max="8" width="1.8515625" style="0" customWidth="1"/>
    <col min="9" max="9" width="25.28125" style="0" customWidth="1"/>
  </cols>
  <sheetData>
    <row r="1" spans="1:9" ht="37.5" customHeight="1">
      <c r="A1" s="325" t="s">
        <v>301</v>
      </c>
      <c r="B1" s="325"/>
      <c r="C1" s="325"/>
      <c r="D1" s="325"/>
      <c r="E1" s="325"/>
      <c r="F1" s="325"/>
      <c r="G1" s="326"/>
      <c r="H1" s="287"/>
      <c r="I1" s="90" t="s">
        <v>167</v>
      </c>
    </row>
    <row r="2" spans="1:9" ht="12.75" customHeight="1">
      <c r="A2" s="314" t="s">
        <v>50</v>
      </c>
      <c r="B2" s="308" t="s">
        <v>73</v>
      </c>
      <c r="C2" s="308" t="s">
        <v>74</v>
      </c>
      <c r="D2" s="345" t="s">
        <v>13</v>
      </c>
      <c r="E2" s="308" t="s">
        <v>102</v>
      </c>
      <c r="F2" s="308" t="s">
        <v>107</v>
      </c>
      <c r="G2" s="303" t="s">
        <v>101</v>
      </c>
      <c r="H2" s="288"/>
      <c r="I2" s="296" t="s">
        <v>168</v>
      </c>
    </row>
    <row r="3" spans="1:9" ht="24.75" customHeight="1">
      <c r="A3" s="347"/>
      <c r="B3" s="309"/>
      <c r="C3" s="309"/>
      <c r="D3" s="346"/>
      <c r="E3" s="309"/>
      <c r="F3" s="309"/>
      <c r="G3" s="304"/>
      <c r="H3" s="288"/>
      <c r="I3" s="296"/>
    </row>
    <row r="4" spans="1:9" ht="15">
      <c r="A4" s="10" t="s">
        <v>300</v>
      </c>
      <c r="B4" s="132">
        <f>MACH1920!C148</f>
        <v>47.208</v>
      </c>
      <c r="C4" s="132">
        <f>MACH1920!D148</f>
        <v>8.8176</v>
      </c>
      <c r="D4" s="80">
        <f>SUM(D6:D25)</f>
        <v>0</v>
      </c>
      <c r="E4" s="132">
        <f>(B4*D4)</f>
        <v>0</v>
      </c>
      <c r="F4" s="132">
        <f>(C4*D4)</f>
        <v>0</v>
      </c>
      <c r="G4" s="117">
        <f>(E4+F4)</f>
        <v>0</v>
      </c>
      <c r="H4" s="288"/>
      <c r="I4" s="91"/>
    </row>
    <row r="5" spans="1:8" ht="9.75" customHeight="1">
      <c r="A5" s="307"/>
      <c r="B5" s="307"/>
      <c r="C5" s="307"/>
      <c r="D5" s="307"/>
      <c r="E5" s="307"/>
      <c r="F5" s="307"/>
      <c r="G5" s="307"/>
      <c r="H5" s="288"/>
    </row>
    <row r="6" spans="1:8" ht="12.75">
      <c r="A6" s="21"/>
      <c r="B6" s="29"/>
      <c r="C6" s="29"/>
      <c r="D6" s="26"/>
      <c r="E6" s="7">
        <f aca="true" t="shared" si="0" ref="E6:E20">(B6*D6)</f>
        <v>0</v>
      </c>
      <c r="F6" s="7">
        <f aca="true" t="shared" si="1" ref="F6:F20">(C6*D6)</f>
        <v>0</v>
      </c>
      <c r="G6" s="73">
        <f aca="true" t="shared" si="2" ref="G6:G20">(E6+F6)</f>
        <v>0</v>
      </c>
      <c r="H6" s="288"/>
    </row>
    <row r="7" spans="1:8" ht="12.75">
      <c r="A7" s="21"/>
      <c r="B7" s="29"/>
      <c r="C7" s="29"/>
      <c r="D7" s="26"/>
      <c r="E7" s="7">
        <f t="shared" si="0"/>
        <v>0</v>
      </c>
      <c r="F7" s="7">
        <f t="shared" si="1"/>
        <v>0</v>
      </c>
      <c r="G7" s="73">
        <f t="shared" si="2"/>
        <v>0</v>
      </c>
      <c r="H7" s="288"/>
    </row>
    <row r="8" spans="1:8" ht="12.75">
      <c r="A8" s="21"/>
      <c r="B8" s="29"/>
      <c r="C8" s="29"/>
      <c r="D8" s="26"/>
      <c r="E8" s="7">
        <f t="shared" si="0"/>
        <v>0</v>
      </c>
      <c r="F8" s="7">
        <f t="shared" si="1"/>
        <v>0</v>
      </c>
      <c r="G8" s="73">
        <f t="shared" si="2"/>
        <v>0</v>
      </c>
      <c r="H8" s="288"/>
    </row>
    <row r="9" spans="1:8" ht="12.75">
      <c r="A9" s="21"/>
      <c r="B9" s="29"/>
      <c r="C9" s="29"/>
      <c r="D9" s="26"/>
      <c r="E9" s="7">
        <f t="shared" si="0"/>
        <v>0</v>
      </c>
      <c r="F9" s="7">
        <f t="shared" si="1"/>
        <v>0</v>
      </c>
      <c r="G9" s="73">
        <f t="shared" si="2"/>
        <v>0</v>
      </c>
      <c r="H9" s="288"/>
    </row>
    <row r="10" spans="1:8" ht="12.75">
      <c r="A10" s="21"/>
      <c r="B10" s="29"/>
      <c r="C10" s="29"/>
      <c r="D10" s="26"/>
      <c r="E10" s="7">
        <f t="shared" si="0"/>
        <v>0</v>
      </c>
      <c r="F10" s="7">
        <f t="shared" si="1"/>
        <v>0</v>
      </c>
      <c r="G10" s="73">
        <f t="shared" si="2"/>
        <v>0</v>
      </c>
      <c r="H10" s="288"/>
    </row>
    <row r="11" spans="1:8" ht="12.75">
      <c r="A11" s="21"/>
      <c r="B11" s="29"/>
      <c r="C11" s="29"/>
      <c r="D11" s="26"/>
      <c r="E11" s="7">
        <f t="shared" si="0"/>
        <v>0</v>
      </c>
      <c r="F11" s="7">
        <f t="shared" si="1"/>
        <v>0</v>
      </c>
      <c r="G11" s="73">
        <f t="shared" si="2"/>
        <v>0</v>
      </c>
      <c r="H11" s="288"/>
    </row>
    <row r="12" spans="1:8" ht="12.75">
      <c r="A12" s="21"/>
      <c r="B12" s="29"/>
      <c r="C12" s="29"/>
      <c r="D12" s="26"/>
      <c r="E12" s="7">
        <f t="shared" si="0"/>
        <v>0</v>
      </c>
      <c r="F12" s="7">
        <f t="shared" si="1"/>
        <v>0</v>
      </c>
      <c r="G12" s="73">
        <f t="shared" si="2"/>
        <v>0</v>
      </c>
      <c r="H12" s="288"/>
    </row>
    <row r="13" spans="1:8" ht="12.75">
      <c r="A13" s="21"/>
      <c r="B13" s="29"/>
      <c r="C13" s="29"/>
      <c r="D13" s="25"/>
      <c r="E13" s="7">
        <f t="shared" si="0"/>
        <v>0</v>
      </c>
      <c r="F13" s="7">
        <f t="shared" si="1"/>
        <v>0</v>
      </c>
      <c r="G13" s="73">
        <f t="shared" si="2"/>
        <v>0</v>
      </c>
      <c r="H13" s="288"/>
    </row>
    <row r="14" spans="1:8" ht="12.75">
      <c r="A14" s="21"/>
      <c r="B14" s="29"/>
      <c r="C14" s="29"/>
      <c r="D14" s="25"/>
      <c r="E14" s="7">
        <f t="shared" si="0"/>
        <v>0</v>
      </c>
      <c r="F14" s="7">
        <f t="shared" si="1"/>
        <v>0</v>
      </c>
      <c r="G14" s="73">
        <f t="shared" si="2"/>
        <v>0</v>
      </c>
      <c r="H14" s="288"/>
    </row>
    <row r="15" spans="1:8" ht="12.75">
      <c r="A15" s="21"/>
      <c r="B15" s="29"/>
      <c r="C15" s="29"/>
      <c r="D15" s="25"/>
      <c r="E15" s="7">
        <f t="shared" si="0"/>
        <v>0</v>
      </c>
      <c r="F15" s="7">
        <f t="shared" si="1"/>
        <v>0</v>
      </c>
      <c r="G15" s="73">
        <f t="shared" si="2"/>
        <v>0</v>
      </c>
      <c r="H15" s="288"/>
    </row>
    <row r="16" spans="1:8" ht="12.75">
      <c r="A16" s="21"/>
      <c r="B16" s="29"/>
      <c r="C16" s="29"/>
      <c r="D16" s="25"/>
      <c r="E16" s="7">
        <f t="shared" si="0"/>
        <v>0</v>
      </c>
      <c r="F16" s="7">
        <f t="shared" si="1"/>
        <v>0</v>
      </c>
      <c r="G16" s="73">
        <f t="shared" si="2"/>
        <v>0</v>
      </c>
      <c r="H16" s="288"/>
    </row>
    <row r="17" spans="1:8" ht="12.75">
      <c r="A17" s="21"/>
      <c r="B17" s="29"/>
      <c r="C17" s="29"/>
      <c r="D17" s="25"/>
      <c r="E17" s="7">
        <f t="shared" si="0"/>
        <v>0</v>
      </c>
      <c r="F17" s="7">
        <f t="shared" si="1"/>
        <v>0</v>
      </c>
      <c r="G17" s="73">
        <f t="shared" si="2"/>
        <v>0</v>
      </c>
      <c r="H17" s="288"/>
    </row>
    <row r="18" spans="1:8" ht="12.75">
      <c r="A18" s="21"/>
      <c r="B18" s="29"/>
      <c r="C18" s="29"/>
      <c r="D18" s="25"/>
      <c r="E18" s="7">
        <f t="shared" si="0"/>
        <v>0</v>
      </c>
      <c r="F18" s="7">
        <f t="shared" si="1"/>
        <v>0</v>
      </c>
      <c r="G18" s="73">
        <f t="shared" si="2"/>
        <v>0</v>
      </c>
      <c r="H18" s="288"/>
    </row>
    <row r="19" spans="1:8" ht="12.75">
      <c r="A19" s="21"/>
      <c r="B19" s="29"/>
      <c r="C19" s="29"/>
      <c r="D19" s="25"/>
      <c r="E19" s="7">
        <f t="shared" si="0"/>
        <v>0</v>
      </c>
      <c r="F19" s="7">
        <f t="shared" si="1"/>
        <v>0</v>
      </c>
      <c r="G19" s="73">
        <f t="shared" si="2"/>
        <v>0</v>
      </c>
      <c r="H19" s="288"/>
    </row>
    <row r="20" spans="1:8" ht="12.75">
      <c r="A20" s="21"/>
      <c r="B20" s="29"/>
      <c r="C20" s="29"/>
      <c r="D20" s="25"/>
      <c r="E20" s="7">
        <f t="shared" si="0"/>
        <v>0</v>
      </c>
      <c r="F20" s="7">
        <f t="shared" si="1"/>
        <v>0</v>
      </c>
      <c r="G20" s="73">
        <f t="shared" si="2"/>
        <v>0</v>
      </c>
      <c r="H20" s="288"/>
    </row>
    <row r="21" spans="1:8" ht="12.75">
      <c r="A21" s="78"/>
      <c r="B21" s="29"/>
      <c r="C21" s="29"/>
      <c r="D21" s="79"/>
      <c r="E21" s="7">
        <f>(B21*D21)</f>
        <v>0</v>
      </c>
      <c r="F21" s="7">
        <f>(C21*D21)</f>
        <v>0</v>
      </c>
      <c r="G21" s="73">
        <f>(E21+F21)</f>
        <v>0</v>
      </c>
      <c r="H21" s="288"/>
    </row>
    <row r="22" spans="1:8" ht="12.75">
      <c r="A22" s="78"/>
      <c r="B22" s="29"/>
      <c r="C22" s="29"/>
      <c r="D22" s="79"/>
      <c r="E22" s="7">
        <f>(B22*D22)</f>
        <v>0</v>
      </c>
      <c r="F22" s="7">
        <f>(C22*D22)</f>
        <v>0</v>
      </c>
      <c r="G22" s="73">
        <f>(E22+F22)</f>
        <v>0</v>
      </c>
      <c r="H22" s="288"/>
    </row>
    <row r="23" spans="1:8" ht="12.75">
      <c r="A23" s="78"/>
      <c r="B23" s="29"/>
      <c r="C23" s="29"/>
      <c r="D23" s="79"/>
      <c r="E23" s="7">
        <f>(B23*D23)</f>
        <v>0</v>
      </c>
      <c r="F23" s="7">
        <f>(C23*D23)</f>
        <v>0</v>
      </c>
      <c r="G23" s="73">
        <f>(E23+F23)</f>
        <v>0</v>
      </c>
      <c r="H23" s="288"/>
    </row>
    <row r="24" spans="1:8" ht="12.75">
      <c r="A24" s="78"/>
      <c r="B24" s="29"/>
      <c r="C24" s="29"/>
      <c r="D24" s="79"/>
      <c r="E24" s="7">
        <f>(B24*D24)</f>
        <v>0</v>
      </c>
      <c r="F24" s="7">
        <f>(C24*D24)</f>
        <v>0</v>
      </c>
      <c r="G24" s="73">
        <f>(E24+F24)</f>
        <v>0</v>
      </c>
      <c r="H24" s="288"/>
    </row>
    <row r="25" spans="1:8" ht="12.75">
      <c r="A25" s="78"/>
      <c r="B25" s="29"/>
      <c r="C25" s="29"/>
      <c r="D25" s="79"/>
      <c r="E25" s="7">
        <f>(B25*D25)</f>
        <v>0</v>
      </c>
      <c r="F25" s="7">
        <f>(C25*D25)</f>
        <v>0</v>
      </c>
      <c r="G25" s="73">
        <f>(E25+F25)</f>
        <v>0</v>
      </c>
      <c r="H25" s="288"/>
    </row>
    <row r="26" spans="1:8" ht="10.5" customHeight="1">
      <c r="A26" s="277"/>
      <c r="B26" s="277"/>
      <c r="C26" s="277"/>
      <c r="D26" s="277"/>
      <c r="E26" s="277"/>
      <c r="F26" s="277"/>
      <c r="G26" s="277"/>
      <c r="H26" s="288"/>
    </row>
    <row r="27" spans="1:8" ht="15">
      <c r="A27" s="297" t="s">
        <v>26</v>
      </c>
      <c r="B27" s="298"/>
      <c r="C27" s="298"/>
      <c r="D27" s="299"/>
      <c r="E27" s="34">
        <f>SUM(E6:E25)</f>
        <v>0</v>
      </c>
      <c r="F27" s="34">
        <f>SUM(F6:F25)</f>
        <v>0</v>
      </c>
      <c r="G27" s="75">
        <f>(E27+F27)</f>
        <v>0</v>
      </c>
      <c r="H27" s="288"/>
    </row>
    <row r="28" spans="1:8" ht="15">
      <c r="A28" s="297" t="s">
        <v>27</v>
      </c>
      <c r="B28" s="298"/>
      <c r="C28" s="298"/>
      <c r="D28" s="299"/>
      <c r="E28" s="34">
        <f>E4</f>
        <v>0</v>
      </c>
      <c r="F28" s="34">
        <f>F4</f>
        <v>0</v>
      </c>
      <c r="G28" s="75">
        <f>E28+F28</f>
        <v>0</v>
      </c>
      <c r="H28" s="288"/>
    </row>
    <row r="29" spans="1:8" ht="15" customHeight="1">
      <c r="A29" s="300" t="s">
        <v>43</v>
      </c>
      <c r="B29" s="301"/>
      <c r="C29" s="301"/>
      <c r="D29" s="302"/>
      <c r="E29" s="47">
        <f>E27+E28</f>
        <v>0</v>
      </c>
      <c r="F29" s="47">
        <f>F27+F28</f>
        <v>0</v>
      </c>
      <c r="G29" s="74">
        <f>G27+G28</f>
        <v>0</v>
      </c>
      <c r="H29" s="288"/>
    </row>
    <row r="30" spans="1:8" ht="33.75" customHeight="1">
      <c r="A30" s="293" t="s">
        <v>86</v>
      </c>
      <c r="B30" s="294"/>
      <c r="C30" s="295"/>
      <c r="D30" s="174"/>
      <c r="E30" s="319"/>
      <c r="F30" s="320"/>
      <c r="G30" s="74">
        <f>(D30*D4)</f>
        <v>0</v>
      </c>
      <c r="H30" s="288"/>
    </row>
    <row r="31" spans="1:8" ht="9.75" customHeight="1">
      <c r="A31" s="290"/>
      <c r="B31" s="290"/>
      <c r="C31" s="290"/>
      <c r="D31" s="290"/>
      <c r="E31" s="290"/>
      <c r="F31" s="290"/>
      <c r="G31" s="290"/>
      <c r="H31" s="289"/>
    </row>
  </sheetData>
  <sheetProtection sheet="1"/>
  <mergeCells count="18">
    <mergeCell ref="H1:H31"/>
    <mergeCell ref="A31:G31"/>
    <mergeCell ref="A26:G26"/>
    <mergeCell ref="I2:I3"/>
    <mergeCell ref="A1:G1"/>
    <mergeCell ref="A30:C30"/>
    <mergeCell ref="F2:F3"/>
    <mergeCell ref="G2:G3"/>
    <mergeCell ref="A2:A3"/>
    <mergeCell ref="B2:B3"/>
    <mergeCell ref="A27:D27"/>
    <mergeCell ref="A28:D28"/>
    <mergeCell ref="A29:D29"/>
    <mergeCell ref="E30:F30"/>
    <mergeCell ref="C2:C3"/>
    <mergeCell ref="D2:D3"/>
    <mergeCell ref="E2:E3"/>
    <mergeCell ref="A5:G5"/>
  </mergeCells>
  <printOptions gridLines="1" verticalCentered="1"/>
  <pageMargins left="0" right="0" top="0" bottom="0" header="0" footer="0"/>
  <pageSetup blackAndWhite="1" horizontalDpi="300" verticalDpi="300" orientation="landscape" r:id="rId1"/>
</worksheet>
</file>

<file path=xl/worksheets/sheet13.xml><?xml version="1.0" encoding="utf-8"?>
<worksheet xmlns="http://schemas.openxmlformats.org/spreadsheetml/2006/main" xmlns:r="http://schemas.openxmlformats.org/officeDocument/2006/relationships">
  <sheetPr>
    <tabColor rgb="FF002060"/>
  </sheetPr>
  <dimension ref="A1:I31"/>
  <sheetViews>
    <sheetView zoomScalePageLayoutView="0" workbookViewId="0" topLeftCell="A1">
      <pane ySplit="5" topLeftCell="A6" activePane="bottomLeft" state="frozen"/>
      <selection pane="topLeft" activeCell="I39" sqref="I39"/>
      <selection pane="bottomLeft" activeCell="A7" sqref="A7"/>
    </sheetView>
  </sheetViews>
  <sheetFormatPr defaultColWidth="9.140625" defaultRowHeight="12.75"/>
  <cols>
    <col min="1" max="1" width="27.140625" style="0" customWidth="1"/>
    <col min="2" max="2" width="11.7109375" style="0" customWidth="1"/>
    <col min="3" max="3" width="10.421875" style="0" customWidth="1"/>
    <col min="4" max="4" width="10.7109375" style="0" customWidth="1"/>
    <col min="5" max="5" width="15.7109375" style="0" customWidth="1"/>
    <col min="6" max="6" width="14.140625" style="0" customWidth="1"/>
    <col min="7" max="7" width="13.57421875" style="0" customWidth="1"/>
    <col min="8" max="8" width="1.8515625" style="0" customWidth="1"/>
    <col min="9" max="9" width="24.140625" style="0" customWidth="1"/>
  </cols>
  <sheetData>
    <row r="1" spans="1:9" ht="30" customHeight="1">
      <c r="A1" s="310" t="s">
        <v>70</v>
      </c>
      <c r="B1" s="311"/>
      <c r="C1" s="311"/>
      <c r="D1" s="311"/>
      <c r="E1" s="311"/>
      <c r="F1" s="311"/>
      <c r="G1" s="312"/>
      <c r="H1" s="287"/>
      <c r="I1" s="90" t="s">
        <v>167</v>
      </c>
    </row>
    <row r="2" spans="1:9" ht="21" customHeight="1">
      <c r="A2" s="305" t="s">
        <v>50</v>
      </c>
      <c r="B2" s="348" t="s">
        <v>71</v>
      </c>
      <c r="C2" s="308" t="s">
        <v>72</v>
      </c>
      <c r="D2" s="308" t="s">
        <v>13</v>
      </c>
      <c r="E2" s="308" t="s">
        <v>102</v>
      </c>
      <c r="F2" s="308" t="s">
        <v>103</v>
      </c>
      <c r="G2" s="303" t="s">
        <v>104</v>
      </c>
      <c r="H2" s="288"/>
      <c r="I2" s="296" t="s">
        <v>168</v>
      </c>
    </row>
    <row r="3" spans="1:9" ht="17.25" customHeight="1">
      <c r="A3" s="351"/>
      <c r="B3" s="349"/>
      <c r="C3" s="350"/>
      <c r="D3" s="350"/>
      <c r="E3" s="350"/>
      <c r="F3" s="350"/>
      <c r="G3" s="352"/>
      <c r="H3" s="288"/>
      <c r="I3" s="296"/>
    </row>
    <row r="4" spans="1:8" ht="15" customHeight="1">
      <c r="A4" s="111" t="s">
        <v>78</v>
      </c>
      <c r="B4" s="47">
        <f>MACH1920!C149</f>
        <v>50.721999999999994</v>
      </c>
      <c r="C4" s="47">
        <f>MACH1920!D149</f>
        <v>9.306000000000001</v>
      </c>
      <c r="D4" s="80">
        <f>SUM(D6:D25)</f>
        <v>0</v>
      </c>
      <c r="E4" s="47">
        <f>(B4*D4)</f>
        <v>0</v>
      </c>
      <c r="F4" s="47">
        <f>(C4*D4)</f>
        <v>0</v>
      </c>
      <c r="G4" s="74">
        <f>(E4+F4)</f>
        <v>0</v>
      </c>
      <c r="H4" s="288"/>
    </row>
    <row r="5" spans="1:8" ht="11.25" customHeight="1">
      <c r="A5" s="307"/>
      <c r="B5" s="307"/>
      <c r="C5" s="307"/>
      <c r="D5" s="307"/>
      <c r="E5" s="307"/>
      <c r="F5" s="307"/>
      <c r="G5" s="307"/>
      <c r="H5" s="288"/>
    </row>
    <row r="6" spans="1:8" ht="12.75">
      <c r="A6" s="21"/>
      <c r="B6" s="29"/>
      <c r="C6" s="29"/>
      <c r="D6" s="26"/>
      <c r="E6" s="7">
        <f aca="true" t="shared" si="0" ref="E6:E17">(B6*D6)</f>
        <v>0</v>
      </c>
      <c r="F6" s="7">
        <f aca="true" t="shared" si="1" ref="F6:F17">(C6*D6)</f>
        <v>0</v>
      </c>
      <c r="G6" s="73">
        <f aca="true" t="shared" si="2" ref="G6:G17">(E6+F6)</f>
        <v>0</v>
      </c>
      <c r="H6" s="288"/>
    </row>
    <row r="7" spans="1:8" ht="12.75">
      <c r="A7" s="21"/>
      <c r="B7" s="29"/>
      <c r="C7" s="29"/>
      <c r="D7" s="26"/>
      <c r="E7" s="7">
        <f t="shared" si="0"/>
        <v>0</v>
      </c>
      <c r="F7" s="7">
        <f t="shared" si="1"/>
        <v>0</v>
      </c>
      <c r="G7" s="73">
        <f t="shared" si="2"/>
        <v>0</v>
      </c>
      <c r="H7" s="288"/>
    </row>
    <row r="8" spans="1:8" ht="12.75">
      <c r="A8" s="21"/>
      <c r="B8" s="29"/>
      <c r="C8" s="29"/>
      <c r="D8" s="26"/>
      <c r="E8" s="7">
        <f t="shared" si="0"/>
        <v>0</v>
      </c>
      <c r="F8" s="7">
        <f t="shared" si="1"/>
        <v>0</v>
      </c>
      <c r="G8" s="73">
        <f t="shared" si="2"/>
        <v>0</v>
      </c>
      <c r="H8" s="288"/>
    </row>
    <row r="9" spans="1:8" ht="12.75">
      <c r="A9" s="21"/>
      <c r="B9" s="29"/>
      <c r="C9" s="29"/>
      <c r="D9" s="26"/>
      <c r="E9" s="7">
        <f t="shared" si="0"/>
        <v>0</v>
      </c>
      <c r="F9" s="7">
        <f t="shared" si="1"/>
        <v>0</v>
      </c>
      <c r="G9" s="73">
        <f t="shared" si="2"/>
        <v>0</v>
      </c>
      <c r="H9" s="288"/>
    </row>
    <row r="10" spans="1:8" ht="12.75">
      <c r="A10" s="21"/>
      <c r="B10" s="29"/>
      <c r="C10" s="29"/>
      <c r="D10" s="26"/>
      <c r="E10" s="7">
        <f t="shared" si="0"/>
        <v>0</v>
      </c>
      <c r="F10" s="7">
        <f t="shared" si="1"/>
        <v>0</v>
      </c>
      <c r="G10" s="73">
        <f t="shared" si="2"/>
        <v>0</v>
      </c>
      <c r="H10" s="288"/>
    </row>
    <row r="11" spans="1:8" ht="12.75">
      <c r="A11" s="21"/>
      <c r="B11" s="29"/>
      <c r="C11" s="29"/>
      <c r="D11" s="26"/>
      <c r="E11" s="7">
        <f t="shared" si="0"/>
        <v>0</v>
      </c>
      <c r="F11" s="7">
        <f t="shared" si="1"/>
        <v>0</v>
      </c>
      <c r="G11" s="73">
        <f t="shared" si="2"/>
        <v>0</v>
      </c>
      <c r="H11" s="288"/>
    </row>
    <row r="12" spans="1:8" ht="12.75">
      <c r="A12" s="21"/>
      <c r="B12" s="29"/>
      <c r="C12" s="29"/>
      <c r="D12" s="26"/>
      <c r="E12" s="7">
        <f t="shared" si="0"/>
        <v>0</v>
      </c>
      <c r="F12" s="7">
        <f t="shared" si="1"/>
        <v>0</v>
      </c>
      <c r="G12" s="73">
        <f t="shared" si="2"/>
        <v>0</v>
      </c>
      <c r="H12" s="288"/>
    </row>
    <row r="13" spans="1:8" ht="12.75">
      <c r="A13" s="21"/>
      <c r="B13" s="29"/>
      <c r="C13" s="29"/>
      <c r="D13" s="25"/>
      <c r="E13" s="7">
        <f t="shared" si="0"/>
        <v>0</v>
      </c>
      <c r="F13" s="7">
        <f t="shared" si="1"/>
        <v>0</v>
      </c>
      <c r="G13" s="73">
        <f t="shared" si="2"/>
        <v>0</v>
      </c>
      <c r="H13" s="288"/>
    </row>
    <row r="14" spans="1:8" ht="12.75">
      <c r="A14" s="21"/>
      <c r="B14" s="29"/>
      <c r="C14" s="29"/>
      <c r="D14" s="25"/>
      <c r="E14" s="7">
        <f t="shared" si="0"/>
        <v>0</v>
      </c>
      <c r="F14" s="7">
        <f t="shared" si="1"/>
        <v>0</v>
      </c>
      <c r="G14" s="73">
        <f t="shared" si="2"/>
        <v>0</v>
      </c>
      <c r="H14" s="288"/>
    </row>
    <row r="15" spans="1:8" ht="12.75">
      <c r="A15" s="21"/>
      <c r="B15" s="29"/>
      <c r="C15" s="29"/>
      <c r="D15" s="25"/>
      <c r="E15" s="7">
        <f t="shared" si="0"/>
        <v>0</v>
      </c>
      <c r="F15" s="7">
        <f t="shared" si="1"/>
        <v>0</v>
      </c>
      <c r="G15" s="73">
        <f t="shared" si="2"/>
        <v>0</v>
      </c>
      <c r="H15" s="288"/>
    </row>
    <row r="16" spans="1:8" ht="12.75">
      <c r="A16" s="21"/>
      <c r="B16" s="29"/>
      <c r="C16" s="29"/>
      <c r="D16" s="25"/>
      <c r="E16" s="7">
        <f t="shared" si="0"/>
        <v>0</v>
      </c>
      <c r="F16" s="7">
        <f t="shared" si="1"/>
        <v>0</v>
      </c>
      <c r="G16" s="73">
        <f t="shared" si="2"/>
        <v>0</v>
      </c>
      <c r="H16" s="288"/>
    </row>
    <row r="17" spans="1:8" ht="12.75">
      <c r="A17" s="21"/>
      <c r="B17" s="29"/>
      <c r="C17" s="29"/>
      <c r="D17" s="25"/>
      <c r="E17" s="7">
        <f t="shared" si="0"/>
        <v>0</v>
      </c>
      <c r="F17" s="7">
        <f t="shared" si="1"/>
        <v>0</v>
      </c>
      <c r="G17" s="73">
        <f t="shared" si="2"/>
        <v>0</v>
      </c>
      <c r="H17" s="288"/>
    </row>
    <row r="18" spans="1:8" ht="12.75">
      <c r="A18" s="78"/>
      <c r="B18" s="29"/>
      <c r="C18" s="29"/>
      <c r="D18" s="79"/>
      <c r="E18" s="7">
        <f aca="true" t="shared" si="3" ref="E18:E25">(B18*D18)</f>
        <v>0</v>
      </c>
      <c r="F18" s="7">
        <f aca="true" t="shared" si="4" ref="F18:F25">(C18*D18)</f>
        <v>0</v>
      </c>
      <c r="G18" s="73">
        <f aca="true" t="shared" si="5" ref="G18:G25">(E18+F18)</f>
        <v>0</v>
      </c>
      <c r="H18" s="288"/>
    </row>
    <row r="19" spans="1:8" ht="12.75">
      <c r="A19" s="78"/>
      <c r="B19" s="29"/>
      <c r="C19" s="29"/>
      <c r="D19" s="79"/>
      <c r="E19" s="7">
        <f t="shared" si="3"/>
        <v>0</v>
      </c>
      <c r="F19" s="7">
        <f t="shared" si="4"/>
        <v>0</v>
      </c>
      <c r="G19" s="73">
        <f t="shared" si="5"/>
        <v>0</v>
      </c>
      <c r="H19" s="288"/>
    </row>
    <row r="20" spans="1:8" ht="12.75">
      <c r="A20" s="78"/>
      <c r="B20" s="29"/>
      <c r="C20" s="29"/>
      <c r="D20" s="79"/>
      <c r="E20" s="7">
        <f t="shared" si="3"/>
        <v>0</v>
      </c>
      <c r="F20" s="7">
        <f t="shared" si="4"/>
        <v>0</v>
      </c>
      <c r="G20" s="73">
        <f t="shared" si="5"/>
        <v>0</v>
      </c>
      <c r="H20" s="288"/>
    </row>
    <row r="21" spans="1:8" ht="12.75">
      <c r="A21" s="78"/>
      <c r="B21" s="29"/>
      <c r="C21" s="29"/>
      <c r="D21" s="79"/>
      <c r="E21" s="7">
        <f t="shared" si="3"/>
        <v>0</v>
      </c>
      <c r="F21" s="7">
        <f t="shared" si="4"/>
        <v>0</v>
      </c>
      <c r="G21" s="73">
        <f t="shared" si="5"/>
        <v>0</v>
      </c>
      <c r="H21" s="288"/>
    </row>
    <row r="22" spans="1:8" ht="12.75">
      <c r="A22" s="78"/>
      <c r="B22" s="29"/>
      <c r="C22" s="29"/>
      <c r="D22" s="79"/>
      <c r="E22" s="7">
        <f t="shared" si="3"/>
        <v>0</v>
      </c>
      <c r="F22" s="7">
        <f t="shared" si="4"/>
        <v>0</v>
      </c>
      <c r="G22" s="73">
        <f t="shared" si="5"/>
        <v>0</v>
      </c>
      <c r="H22" s="288"/>
    </row>
    <row r="23" spans="1:8" ht="12.75">
      <c r="A23" s="78"/>
      <c r="B23" s="29"/>
      <c r="C23" s="29"/>
      <c r="D23" s="79"/>
      <c r="E23" s="7">
        <f t="shared" si="3"/>
        <v>0</v>
      </c>
      <c r="F23" s="7">
        <f t="shared" si="4"/>
        <v>0</v>
      </c>
      <c r="G23" s="73">
        <f t="shared" si="5"/>
        <v>0</v>
      </c>
      <c r="H23" s="288"/>
    </row>
    <row r="24" spans="1:8" ht="12.75">
      <c r="A24" s="78"/>
      <c r="B24" s="29"/>
      <c r="C24" s="29"/>
      <c r="D24" s="79"/>
      <c r="E24" s="7">
        <f t="shared" si="3"/>
        <v>0</v>
      </c>
      <c r="F24" s="7">
        <f t="shared" si="4"/>
        <v>0</v>
      </c>
      <c r="G24" s="73">
        <f t="shared" si="5"/>
        <v>0</v>
      </c>
      <c r="H24" s="288"/>
    </row>
    <row r="25" spans="1:8" ht="12.75">
      <c r="A25" s="78"/>
      <c r="B25" s="29"/>
      <c r="C25" s="29"/>
      <c r="D25" s="79"/>
      <c r="E25" s="7">
        <f t="shared" si="3"/>
        <v>0</v>
      </c>
      <c r="F25" s="7">
        <f t="shared" si="4"/>
        <v>0</v>
      </c>
      <c r="G25" s="73">
        <f t="shared" si="5"/>
        <v>0</v>
      </c>
      <c r="H25" s="288"/>
    </row>
    <row r="26" spans="1:8" ht="9.75" customHeight="1">
      <c r="A26" s="277"/>
      <c r="B26" s="277"/>
      <c r="C26" s="277"/>
      <c r="D26" s="277"/>
      <c r="E26" s="277"/>
      <c r="F26" s="277"/>
      <c r="G26" s="277"/>
      <c r="H26" s="288"/>
    </row>
    <row r="27" spans="1:8" ht="15">
      <c r="A27" s="297" t="s">
        <v>154</v>
      </c>
      <c r="B27" s="298"/>
      <c r="C27" s="298"/>
      <c r="D27" s="299"/>
      <c r="E27" s="34">
        <f>SUM(E6:E25)</f>
        <v>0</v>
      </c>
      <c r="F27" s="34">
        <f>SUM(F6:F25)</f>
        <v>0</v>
      </c>
      <c r="G27" s="75">
        <f>(E27+F27)</f>
        <v>0</v>
      </c>
      <c r="H27" s="288"/>
    </row>
    <row r="28" spans="1:8" ht="15">
      <c r="A28" s="297" t="s">
        <v>27</v>
      </c>
      <c r="B28" s="298"/>
      <c r="C28" s="298"/>
      <c r="D28" s="299"/>
      <c r="E28" s="34">
        <f>E4</f>
        <v>0</v>
      </c>
      <c r="F28" s="34">
        <f>F4</f>
        <v>0</v>
      </c>
      <c r="G28" s="75">
        <f>E28+F28</f>
        <v>0</v>
      </c>
      <c r="H28" s="288"/>
    </row>
    <row r="29" spans="1:8" ht="15" customHeight="1">
      <c r="A29" s="300" t="s">
        <v>43</v>
      </c>
      <c r="B29" s="301"/>
      <c r="C29" s="301"/>
      <c r="D29" s="302"/>
      <c r="E29" s="47">
        <f>E27+E28</f>
        <v>0</v>
      </c>
      <c r="F29" s="47">
        <f>F27+F28</f>
        <v>0</v>
      </c>
      <c r="G29" s="74">
        <f>G27+G28</f>
        <v>0</v>
      </c>
      <c r="H29" s="288"/>
    </row>
    <row r="30" spans="1:8" ht="35.25" customHeight="1">
      <c r="A30" s="293" t="s">
        <v>86</v>
      </c>
      <c r="B30" s="294"/>
      <c r="C30" s="295"/>
      <c r="D30" s="174"/>
      <c r="E30" s="319"/>
      <c r="F30" s="320"/>
      <c r="G30" s="74">
        <f>(D30*D4)</f>
        <v>0</v>
      </c>
      <c r="H30" s="288"/>
    </row>
    <row r="31" spans="1:8" ht="9" customHeight="1">
      <c r="A31" s="290"/>
      <c r="B31" s="290"/>
      <c r="C31" s="290"/>
      <c r="D31" s="290"/>
      <c r="E31" s="290"/>
      <c r="F31" s="290"/>
      <c r="G31" s="290"/>
      <c r="H31" s="289"/>
    </row>
  </sheetData>
  <sheetProtection sheet="1"/>
  <mergeCells count="18">
    <mergeCell ref="B2:B3"/>
    <mergeCell ref="C2:C3"/>
    <mergeCell ref="A1:G1"/>
    <mergeCell ref="D2:D3"/>
    <mergeCell ref="E2:E3"/>
    <mergeCell ref="F2:F3"/>
    <mergeCell ref="A2:A3"/>
    <mergeCell ref="G2:G3"/>
    <mergeCell ref="I2:I3"/>
    <mergeCell ref="E30:F30"/>
    <mergeCell ref="A27:D27"/>
    <mergeCell ref="A28:D28"/>
    <mergeCell ref="A29:D29"/>
    <mergeCell ref="A30:C30"/>
    <mergeCell ref="A26:G26"/>
    <mergeCell ref="H1:H31"/>
    <mergeCell ref="A31:G31"/>
    <mergeCell ref="A5:G5"/>
  </mergeCells>
  <printOptions gridLines="1" verticalCentered="1"/>
  <pageMargins left="0" right="0" top="0" bottom="0" header="0" footer="0"/>
  <pageSetup blackAndWhite="1" horizontalDpi="300" verticalDpi="300" orientation="landscape" r:id="rId1"/>
</worksheet>
</file>

<file path=xl/worksheets/sheet14.xml><?xml version="1.0" encoding="utf-8"?>
<worksheet xmlns="http://schemas.openxmlformats.org/spreadsheetml/2006/main" xmlns:r="http://schemas.openxmlformats.org/officeDocument/2006/relationships">
  <sheetPr>
    <tabColor rgb="FF002060"/>
  </sheetPr>
  <dimension ref="A1:I31"/>
  <sheetViews>
    <sheetView zoomScalePageLayoutView="0" workbookViewId="0" topLeftCell="A1">
      <pane ySplit="5" topLeftCell="A6" activePane="bottomLeft" state="frozen"/>
      <selection pane="topLeft" activeCell="I39" sqref="I39"/>
      <selection pane="bottomLeft" activeCell="B4" sqref="B4"/>
    </sheetView>
  </sheetViews>
  <sheetFormatPr defaultColWidth="9.140625" defaultRowHeight="12.75"/>
  <cols>
    <col min="1" max="1" width="34.421875" style="0" customWidth="1"/>
    <col min="4" max="4" width="9.8515625" style="0" customWidth="1"/>
    <col min="5" max="5" width="15.140625" style="0" customWidth="1"/>
    <col min="6" max="6" width="13.28125" style="0" customWidth="1"/>
    <col min="7" max="7" width="13.8515625" style="0" customWidth="1"/>
    <col min="8" max="8" width="2.7109375" style="0" customWidth="1"/>
    <col min="9" max="9" width="23.00390625" style="0" customWidth="1"/>
  </cols>
  <sheetData>
    <row r="1" spans="1:9" ht="32.25" customHeight="1">
      <c r="A1" s="353" t="s">
        <v>115</v>
      </c>
      <c r="B1" s="354"/>
      <c r="C1" s="354"/>
      <c r="D1" s="354"/>
      <c r="E1" s="354"/>
      <c r="F1" s="354"/>
      <c r="G1" s="355"/>
      <c r="H1" s="287"/>
      <c r="I1" s="90" t="s">
        <v>167</v>
      </c>
    </row>
    <row r="2" spans="1:9" ht="24" customHeight="1">
      <c r="A2" s="305" t="s">
        <v>50</v>
      </c>
      <c r="B2" s="308" t="s">
        <v>73</v>
      </c>
      <c r="C2" s="308" t="s">
        <v>74</v>
      </c>
      <c r="D2" s="308" t="s">
        <v>13</v>
      </c>
      <c r="E2" s="308" t="s">
        <v>102</v>
      </c>
      <c r="F2" s="308" t="s">
        <v>103</v>
      </c>
      <c r="G2" s="308" t="s">
        <v>101</v>
      </c>
      <c r="H2" s="288"/>
      <c r="I2" s="296" t="s">
        <v>168</v>
      </c>
    </row>
    <row r="3" spans="1:9" ht="17.25" customHeight="1">
      <c r="A3" s="306"/>
      <c r="B3" s="309"/>
      <c r="C3" s="309"/>
      <c r="D3" s="309"/>
      <c r="E3" s="309"/>
      <c r="F3" s="309"/>
      <c r="G3" s="309"/>
      <c r="H3" s="288"/>
      <c r="I3" s="296"/>
    </row>
    <row r="4" spans="1:8" ht="15">
      <c r="A4" s="105" t="s">
        <v>114</v>
      </c>
      <c r="B4" s="47">
        <f>MACH1920!C153</f>
        <v>65.30999999999999</v>
      </c>
      <c r="C4" s="47">
        <f>MACH1920!D153</f>
        <v>12.1044</v>
      </c>
      <c r="D4" s="80">
        <f>SUM(D6:D25)</f>
        <v>2.18</v>
      </c>
      <c r="E4" s="47">
        <f>(B4*D4)</f>
        <v>142.3758</v>
      </c>
      <c r="F4" s="47">
        <f>(C4*D4)</f>
        <v>26.387592</v>
      </c>
      <c r="G4" s="47">
        <f>E4+F4</f>
        <v>168.763392</v>
      </c>
      <c r="H4" s="288"/>
    </row>
    <row r="5" spans="1:8" ht="12.75" customHeight="1">
      <c r="A5" s="307"/>
      <c r="B5" s="307"/>
      <c r="C5" s="307"/>
      <c r="D5" s="307"/>
      <c r="E5" s="307"/>
      <c r="F5" s="307"/>
      <c r="G5" s="307"/>
      <c r="H5" s="288"/>
    </row>
    <row r="6" spans="1:8" ht="12.75">
      <c r="A6" s="21" t="s">
        <v>376</v>
      </c>
      <c r="B6" s="29">
        <v>1.3439999999999999</v>
      </c>
      <c r="C6" s="29">
        <v>4.224</v>
      </c>
      <c r="D6" s="108">
        <v>1.82</v>
      </c>
      <c r="E6" s="7">
        <f aca="true" t="shared" si="0" ref="E6:E21">(B6*D6)</f>
        <v>2.44608</v>
      </c>
      <c r="F6" s="7">
        <f aca="true" t="shared" si="1" ref="F6:F21">(C6*D6)</f>
        <v>7.68768</v>
      </c>
      <c r="G6" s="7">
        <f aca="true" t="shared" si="2" ref="G6:G21">(E6+F6)</f>
        <v>10.13376</v>
      </c>
      <c r="H6" s="288"/>
    </row>
    <row r="7" spans="1:8" ht="12.75">
      <c r="A7" s="78" t="s">
        <v>117</v>
      </c>
      <c r="B7" s="29">
        <v>0.9939999999999999</v>
      </c>
      <c r="C7" s="29">
        <v>1.2408</v>
      </c>
      <c r="D7" s="79">
        <v>0.36</v>
      </c>
      <c r="E7" s="7">
        <f t="shared" si="0"/>
        <v>0.35783999999999994</v>
      </c>
      <c r="F7" s="7">
        <f t="shared" si="1"/>
        <v>0.446688</v>
      </c>
      <c r="G7" s="7">
        <f t="shared" si="2"/>
        <v>0.8045279999999999</v>
      </c>
      <c r="H7" s="288"/>
    </row>
    <row r="8" spans="1:8" ht="12.75">
      <c r="A8" s="78"/>
      <c r="B8" s="29"/>
      <c r="C8" s="29"/>
      <c r="D8" s="79"/>
      <c r="E8" s="7">
        <f t="shared" si="0"/>
        <v>0</v>
      </c>
      <c r="F8" s="7">
        <f t="shared" si="1"/>
        <v>0</v>
      </c>
      <c r="G8" s="7">
        <f t="shared" si="2"/>
        <v>0</v>
      </c>
      <c r="H8" s="288"/>
    </row>
    <row r="9" spans="1:8" ht="12.75">
      <c r="A9" s="21"/>
      <c r="B9" s="29"/>
      <c r="C9" s="29"/>
      <c r="D9" s="26"/>
      <c r="E9" s="7">
        <f t="shared" si="0"/>
        <v>0</v>
      </c>
      <c r="F9" s="7">
        <f t="shared" si="1"/>
        <v>0</v>
      </c>
      <c r="G9" s="7">
        <f t="shared" si="2"/>
        <v>0</v>
      </c>
      <c r="H9" s="288"/>
    </row>
    <row r="10" spans="1:8" ht="12.75">
      <c r="A10" s="21"/>
      <c r="B10" s="29"/>
      <c r="C10" s="29"/>
      <c r="D10" s="26"/>
      <c r="E10" s="7">
        <f t="shared" si="0"/>
        <v>0</v>
      </c>
      <c r="F10" s="7">
        <f t="shared" si="1"/>
        <v>0</v>
      </c>
      <c r="G10" s="7">
        <f t="shared" si="2"/>
        <v>0</v>
      </c>
      <c r="H10" s="288"/>
    </row>
    <row r="11" spans="1:8" ht="12.75">
      <c r="A11" s="21"/>
      <c r="B11" s="29"/>
      <c r="C11" s="29"/>
      <c r="D11" s="26"/>
      <c r="E11" s="7">
        <f t="shared" si="0"/>
        <v>0</v>
      </c>
      <c r="F11" s="7">
        <f t="shared" si="1"/>
        <v>0</v>
      </c>
      <c r="G11" s="7">
        <f t="shared" si="2"/>
        <v>0</v>
      </c>
      <c r="H11" s="288"/>
    </row>
    <row r="12" spans="1:8" ht="12.75">
      <c r="A12" s="21"/>
      <c r="B12" s="29"/>
      <c r="C12" s="29"/>
      <c r="D12" s="26"/>
      <c r="E12" s="7">
        <f t="shared" si="0"/>
        <v>0</v>
      </c>
      <c r="F12" s="7">
        <f t="shared" si="1"/>
        <v>0</v>
      </c>
      <c r="G12" s="7">
        <f t="shared" si="2"/>
        <v>0</v>
      </c>
      <c r="H12" s="288"/>
    </row>
    <row r="13" spans="1:8" ht="12.75">
      <c r="A13" s="21"/>
      <c r="B13" s="29"/>
      <c r="C13" s="29"/>
      <c r="D13" s="26"/>
      <c r="E13" s="7">
        <f t="shared" si="0"/>
        <v>0</v>
      </c>
      <c r="F13" s="7">
        <f t="shared" si="1"/>
        <v>0</v>
      </c>
      <c r="G13" s="7">
        <f t="shared" si="2"/>
        <v>0</v>
      </c>
      <c r="H13" s="288"/>
    </row>
    <row r="14" spans="1:8" ht="12.75">
      <c r="A14" s="21"/>
      <c r="B14" s="29"/>
      <c r="C14" s="29"/>
      <c r="D14" s="25"/>
      <c r="E14" s="7">
        <f t="shared" si="0"/>
        <v>0</v>
      </c>
      <c r="F14" s="7">
        <f t="shared" si="1"/>
        <v>0</v>
      </c>
      <c r="G14" s="7">
        <f t="shared" si="2"/>
        <v>0</v>
      </c>
      <c r="H14" s="288"/>
    </row>
    <row r="15" spans="1:8" ht="12.75">
      <c r="A15" s="21"/>
      <c r="B15" s="29"/>
      <c r="C15" s="29"/>
      <c r="D15" s="25"/>
      <c r="E15" s="7">
        <f t="shared" si="0"/>
        <v>0</v>
      </c>
      <c r="F15" s="7">
        <f t="shared" si="1"/>
        <v>0</v>
      </c>
      <c r="G15" s="7">
        <f t="shared" si="2"/>
        <v>0</v>
      </c>
      <c r="H15" s="288"/>
    </row>
    <row r="16" spans="1:8" ht="12.75">
      <c r="A16" s="21"/>
      <c r="B16" s="29"/>
      <c r="C16" s="29"/>
      <c r="D16" s="25"/>
      <c r="E16" s="7">
        <f t="shared" si="0"/>
        <v>0</v>
      </c>
      <c r="F16" s="7">
        <f t="shared" si="1"/>
        <v>0</v>
      </c>
      <c r="G16" s="7">
        <f t="shared" si="2"/>
        <v>0</v>
      </c>
      <c r="H16" s="288"/>
    </row>
    <row r="17" spans="1:8" ht="12.75">
      <c r="A17" s="21"/>
      <c r="B17" s="29"/>
      <c r="C17" s="29"/>
      <c r="D17" s="25"/>
      <c r="E17" s="7">
        <f t="shared" si="0"/>
        <v>0</v>
      </c>
      <c r="F17" s="7">
        <f t="shared" si="1"/>
        <v>0</v>
      </c>
      <c r="G17" s="7">
        <f t="shared" si="2"/>
        <v>0</v>
      </c>
      <c r="H17" s="288"/>
    </row>
    <row r="18" spans="1:8" ht="12.75">
      <c r="A18" s="21"/>
      <c r="B18" s="29"/>
      <c r="C18" s="29"/>
      <c r="D18" s="25"/>
      <c r="E18" s="7">
        <f t="shared" si="0"/>
        <v>0</v>
      </c>
      <c r="F18" s="7">
        <f t="shared" si="1"/>
        <v>0</v>
      </c>
      <c r="G18" s="7">
        <f t="shared" si="2"/>
        <v>0</v>
      </c>
      <c r="H18" s="288"/>
    </row>
    <row r="19" spans="1:8" ht="12.75">
      <c r="A19" s="21"/>
      <c r="B19" s="29"/>
      <c r="C19" s="29"/>
      <c r="D19" s="25"/>
      <c r="E19" s="7">
        <f t="shared" si="0"/>
        <v>0</v>
      </c>
      <c r="F19" s="7">
        <f t="shared" si="1"/>
        <v>0</v>
      </c>
      <c r="G19" s="7">
        <f t="shared" si="2"/>
        <v>0</v>
      </c>
      <c r="H19" s="288"/>
    </row>
    <row r="20" spans="1:8" ht="12.75">
      <c r="A20" s="21"/>
      <c r="B20" s="29"/>
      <c r="C20" s="29"/>
      <c r="D20" s="25"/>
      <c r="E20" s="7">
        <f t="shared" si="0"/>
        <v>0</v>
      </c>
      <c r="F20" s="7">
        <f t="shared" si="1"/>
        <v>0</v>
      </c>
      <c r="G20" s="7">
        <f t="shared" si="2"/>
        <v>0</v>
      </c>
      <c r="H20" s="288"/>
    </row>
    <row r="21" spans="1:8" ht="12.75">
      <c r="A21" s="21"/>
      <c r="B21" s="29"/>
      <c r="C21" s="29"/>
      <c r="D21" s="25"/>
      <c r="E21" s="7">
        <f t="shared" si="0"/>
        <v>0</v>
      </c>
      <c r="F21" s="7">
        <f t="shared" si="1"/>
        <v>0</v>
      </c>
      <c r="G21" s="7">
        <f t="shared" si="2"/>
        <v>0</v>
      </c>
      <c r="H21" s="288"/>
    </row>
    <row r="22" spans="1:8" ht="12.75">
      <c r="A22" s="78"/>
      <c r="B22" s="29"/>
      <c r="C22" s="29"/>
      <c r="D22" s="79"/>
      <c r="E22" s="7">
        <f>(B22*D22)</f>
        <v>0</v>
      </c>
      <c r="F22" s="7">
        <f>(C22*D22)</f>
        <v>0</v>
      </c>
      <c r="G22" s="7">
        <f>(E22+F22)</f>
        <v>0</v>
      </c>
      <c r="H22" s="288"/>
    </row>
    <row r="23" spans="1:8" ht="12.75">
      <c r="A23" s="78"/>
      <c r="B23" s="29"/>
      <c r="C23" s="29"/>
      <c r="D23" s="79"/>
      <c r="E23" s="7">
        <f>(B23*D23)</f>
        <v>0</v>
      </c>
      <c r="F23" s="7">
        <f>(C23*D23)</f>
        <v>0</v>
      </c>
      <c r="G23" s="7">
        <f>(E23+F23)</f>
        <v>0</v>
      </c>
      <c r="H23" s="288"/>
    </row>
    <row r="24" spans="1:8" ht="12.75">
      <c r="A24" s="78"/>
      <c r="B24" s="29"/>
      <c r="C24" s="29"/>
      <c r="D24" s="79"/>
      <c r="E24" s="7">
        <f>(B24*D24)</f>
        <v>0</v>
      </c>
      <c r="F24" s="7">
        <f>(C24*D24)</f>
        <v>0</v>
      </c>
      <c r="G24" s="7">
        <f>(E24+F24)</f>
        <v>0</v>
      </c>
      <c r="H24" s="288"/>
    </row>
    <row r="25" spans="1:8" ht="12.75">
      <c r="A25" s="78"/>
      <c r="B25" s="29"/>
      <c r="C25" s="29"/>
      <c r="D25" s="79"/>
      <c r="E25" s="7">
        <f>(B25*D25)</f>
        <v>0</v>
      </c>
      <c r="F25" s="7">
        <f>(C25*D25)</f>
        <v>0</v>
      </c>
      <c r="G25" s="7">
        <f>(E25+F25)</f>
        <v>0</v>
      </c>
      <c r="H25" s="288"/>
    </row>
    <row r="26" spans="1:8" ht="12.75">
      <c r="A26" s="277"/>
      <c r="B26" s="277"/>
      <c r="C26" s="277"/>
      <c r="D26" s="277"/>
      <c r="E26" s="277"/>
      <c r="F26" s="277"/>
      <c r="G26" s="277"/>
      <c r="H26" s="288"/>
    </row>
    <row r="27" spans="1:8" ht="15">
      <c r="A27" s="297" t="s">
        <v>154</v>
      </c>
      <c r="B27" s="298"/>
      <c r="C27" s="298"/>
      <c r="D27" s="299"/>
      <c r="E27" s="34">
        <f>SUM(E6:E25)</f>
        <v>2.8039199999999997</v>
      </c>
      <c r="F27" s="34">
        <f>SUM(F6:F25)</f>
        <v>8.134368</v>
      </c>
      <c r="G27" s="34">
        <f>(E27+F27)</f>
        <v>10.938288</v>
      </c>
      <c r="H27" s="288"/>
    </row>
    <row r="28" spans="1:8" ht="15">
      <c r="A28" s="297" t="s">
        <v>27</v>
      </c>
      <c r="B28" s="298"/>
      <c r="C28" s="298"/>
      <c r="D28" s="299"/>
      <c r="E28" s="34">
        <f>E4</f>
        <v>142.3758</v>
      </c>
      <c r="F28" s="34">
        <f>F4</f>
        <v>26.387592</v>
      </c>
      <c r="G28" s="34">
        <f>E28+F28</f>
        <v>168.763392</v>
      </c>
      <c r="H28" s="288"/>
    </row>
    <row r="29" spans="1:8" ht="15" customHeight="1">
      <c r="A29" s="300" t="s">
        <v>43</v>
      </c>
      <c r="B29" s="301"/>
      <c r="C29" s="301"/>
      <c r="D29" s="302"/>
      <c r="E29" s="47">
        <f>E27+E28</f>
        <v>145.17972</v>
      </c>
      <c r="F29" s="47">
        <f>F27+F28</f>
        <v>34.52196</v>
      </c>
      <c r="G29" s="47">
        <f>G27+G28</f>
        <v>179.70168</v>
      </c>
      <c r="H29" s="288"/>
    </row>
    <row r="30" spans="1:8" ht="34.5" customHeight="1">
      <c r="A30" s="293" t="s">
        <v>86</v>
      </c>
      <c r="B30" s="294"/>
      <c r="C30" s="295"/>
      <c r="D30" s="174">
        <v>20</v>
      </c>
      <c r="E30" s="319"/>
      <c r="F30" s="320"/>
      <c r="G30" s="47">
        <f>(D30*D4)</f>
        <v>43.6</v>
      </c>
      <c r="H30" s="288"/>
    </row>
    <row r="31" spans="1:8" ht="12.75">
      <c r="A31" s="290"/>
      <c r="B31" s="290"/>
      <c r="C31" s="290"/>
      <c r="D31" s="290"/>
      <c r="E31" s="290"/>
      <c r="F31" s="290"/>
      <c r="G31" s="290"/>
      <c r="H31" s="289"/>
    </row>
  </sheetData>
  <sheetProtection sheet="1"/>
  <mergeCells count="18">
    <mergeCell ref="H1:H31"/>
    <mergeCell ref="A31:G31"/>
    <mergeCell ref="I2:I3"/>
    <mergeCell ref="A30:C30"/>
    <mergeCell ref="A1:G1"/>
    <mergeCell ref="A2:A3"/>
    <mergeCell ref="B2:B3"/>
    <mergeCell ref="C2:C3"/>
    <mergeCell ref="D2:D3"/>
    <mergeCell ref="E2:E3"/>
    <mergeCell ref="A27:D27"/>
    <mergeCell ref="A28:D28"/>
    <mergeCell ref="A29:D29"/>
    <mergeCell ref="E30:F30"/>
    <mergeCell ref="F2:F3"/>
    <mergeCell ref="G2:G3"/>
    <mergeCell ref="A26:G26"/>
    <mergeCell ref="A5:G5"/>
  </mergeCells>
  <printOptions gridLines="1" verticalCentered="1"/>
  <pageMargins left="0" right="0" top="0" bottom="0" header="0" footer="0"/>
  <pageSetup blackAndWhite="1" horizontalDpi="300" verticalDpi="300" orientation="landscape" r:id="rId1"/>
</worksheet>
</file>

<file path=xl/worksheets/sheet15.xml><?xml version="1.0" encoding="utf-8"?>
<worksheet xmlns="http://schemas.openxmlformats.org/spreadsheetml/2006/main" xmlns:r="http://schemas.openxmlformats.org/officeDocument/2006/relationships">
  <sheetPr>
    <tabColor rgb="FF002060"/>
    <pageSetUpPr fitToPage="1"/>
  </sheetPr>
  <dimension ref="A1:I31"/>
  <sheetViews>
    <sheetView zoomScalePageLayoutView="0" workbookViewId="0" topLeftCell="A1">
      <pane ySplit="5" topLeftCell="A6" activePane="bottomLeft" state="frozen"/>
      <selection pane="topLeft" activeCell="I39" sqref="I39"/>
      <selection pane="bottomLeft" activeCell="I23" sqref="I23"/>
    </sheetView>
  </sheetViews>
  <sheetFormatPr defaultColWidth="9.140625" defaultRowHeight="12.75"/>
  <cols>
    <col min="1" max="1" width="27.28125" style="0" customWidth="1"/>
    <col min="2" max="2" width="11.7109375" style="0" customWidth="1"/>
    <col min="3" max="3" width="10.57421875" style="0" customWidth="1"/>
    <col min="4" max="4" width="10.140625" style="0" customWidth="1"/>
    <col min="5" max="5" width="15.28125" style="0" customWidth="1"/>
    <col min="6" max="6" width="12.7109375" style="0" customWidth="1"/>
    <col min="7" max="7" width="11.8515625" style="0" customWidth="1"/>
    <col min="8" max="8" width="2.28125" style="0" customWidth="1"/>
    <col min="9" max="9" width="21.421875" style="0" customWidth="1"/>
  </cols>
  <sheetData>
    <row r="1" spans="1:9" ht="15.75">
      <c r="A1" s="321" t="s">
        <v>112</v>
      </c>
      <c r="B1" s="356"/>
      <c r="C1" s="356"/>
      <c r="D1" s="356"/>
      <c r="E1" s="356"/>
      <c r="F1" s="356"/>
      <c r="G1" s="356"/>
      <c r="H1" s="288"/>
      <c r="I1" s="318" t="s">
        <v>167</v>
      </c>
    </row>
    <row r="2" spans="1:9" ht="12.75" customHeight="1">
      <c r="A2" s="305" t="s">
        <v>50</v>
      </c>
      <c r="B2" s="308" t="s">
        <v>73</v>
      </c>
      <c r="C2" s="308" t="s">
        <v>74</v>
      </c>
      <c r="D2" s="308" t="s">
        <v>13</v>
      </c>
      <c r="E2" s="308" t="s">
        <v>102</v>
      </c>
      <c r="F2" s="308" t="s">
        <v>103</v>
      </c>
      <c r="G2" s="308" t="s">
        <v>101</v>
      </c>
      <c r="H2" s="288"/>
      <c r="I2" s="318"/>
    </row>
    <row r="3" spans="1:9" ht="30.75" customHeight="1">
      <c r="A3" s="306"/>
      <c r="B3" s="309"/>
      <c r="C3" s="309"/>
      <c r="D3" s="309"/>
      <c r="E3" s="309"/>
      <c r="F3" s="309"/>
      <c r="G3" s="309"/>
      <c r="H3" s="288"/>
      <c r="I3" s="91" t="s">
        <v>168</v>
      </c>
    </row>
    <row r="4" spans="1:9" ht="15">
      <c r="A4" s="105" t="s">
        <v>113</v>
      </c>
      <c r="B4" s="47">
        <f>MACH1920!C154</f>
        <v>76.60799999999999</v>
      </c>
      <c r="C4" s="47">
        <f>MACH1920!D154</f>
        <v>14.7576</v>
      </c>
      <c r="D4" s="115">
        <f>SUM(D6:D25)</f>
        <v>0</v>
      </c>
      <c r="E4" s="47">
        <f>(B4*D4)</f>
        <v>0</v>
      </c>
      <c r="F4" s="47">
        <f>(C4*D4)</f>
        <v>0</v>
      </c>
      <c r="G4" s="47">
        <f>E4+F4</f>
        <v>0</v>
      </c>
      <c r="H4" s="288"/>
      <c r="I4" s="91"/>
    </row>
    <row r="5" spans="1:8" ht="12" customHeight="1">
      <c r="A5" s="307"/>
      <c r="B5" s="307"/>
      <c r="C5" s="307"/>
      <c r="D5" s="307"/>
      <c r="E5" s="307"/>
      <c r="F5" s="307"/>
      <c r="G5" s="307"/>
      <c r="H5" s="288"/>
    </row>
    <row r="6" spans="1:8" ht="12.75">
      <c r="A6" s="21"/>
      <c r="B6" s="29"/>
      <c r="C6" s="29"/>
      <c r="D6" s="108"/>
      <c r="E6" s="7">
        <f aca="true" t="shared" si="0" ref="E6:E13">(B6*D6)</f>
        <v>0</v>
      </c>
      <c r="F6" s="7">
        <f aca="true" t="shared" si="1" ref="F6:F13">(C6*D6)</f>
        <v>0</v>
      </c>
      <c r="G6" s="7">
        <f aca="true" t="shared" si="2" ref="G6:G13">(E6+F6)</f>
        <v>0</v>
      </c>
      <c r="H6" s="288"/>
    </row>
    <row r="7" spans="1:8" ht="12.75">
      <c r="A7" s="21"/>
      <c r="B7" s="29"/>
      <c r="C7" s="29"/>
      <c r="D7" s="79"/>
      <c r="E7" s="7">
        <f t="shared" si="0"/>
        <v>0</v>
      </c>
      <c r="F7" s="7">
        <f t="shared" si="1"/>
        <v>0</v>
      </c>
      <c r="G7" s="7">
        <f t="shared" si="2"/>
        <v>0</v>
      </c>
      <c r="H7" s="288"/>
    </row>
    <row r="8" spans="1:8" ht="12.75">
      <c r="A8" s="21"/>
      <c r="B8" s="29"/>
      <c r="C8" s="29"/>
      <c r="D8" s="79"/>
      <c r="E8" s="7">
        <f t="shared" si="0"/>
        <v>0</v>
      </c>
      <c r="F8" s="7">
        <f t="shared" si="1"/>
        <v>0</v>
      </c>
      <c r="G8" s="7">
        <f t="shared" si="2"/>
        <v>0</v>
      </c>
      <c r="H8" s="288"/>
    </row>
    <row r="9" spans="1:8" ht="12.75">
      <c r="A9" s="21"/>
      <c r="B9" s="29"/>
      <c r="C9" s="29"/>
      <c r="D9" s="26"/>
      <c r="E9" s="7">
        <f t="shared" si="0"/>
        <v>0</v>
      </c>
      <c r="F9" s="7">
        <f t="shared" si="1"/>
        <v>0</v>
      </c>
      <c r="G9" s="7">
        <f t="shared" si="2"/>
        <v>0</v>
      </c>
      <c r="H9" s="288"/>
    </row>
    <row r="10" spans="1:8" ht="12.75">
      <c r="A10" s="21"/>
      <c r="B10" s="29"/>
      <c r="C10" s="29"/>
      <c r="D10" s="26"/>
      <c r="E10" s="7">
        <f t="shared" si="0"/>
        <v>0</v>
      </c>
      <c r="F10" s="7">
        <f t="shared" si="1"/>
        <v>0</v>
      </c>
      <c r="G10" s="7">
        <f t="shared" si="2"/>
        <v>0</v>
      </c>
      <c r="H10" s="288"/>
    </row>
    <row r="11" spans="1:8" ht="12.75">
      <c r="A11" s="21"/>
      <c r="B11" s="29"/>
      <c r="C11" s="29"/>
      <c r="D11" s="26"/>
      <c r="E11" s="7">
        <f t="shared" si="0"/>
        <v>0</v>
      </c>
      <c r="F11" s="7">
        <f t="shared" si="1"/>
        <v>0</v>
      </c>
      <c r="G11" s="7">
        <f t="shared" si="2"/>
        <v>0</v>
      </c>
      <c r="H11" s="288"/>
    </row>
    <row r="12" spans="1:8" ht="12.75">
      <c r="A12" s="21"/>
      <c r="B12" s="29"/>
      <c r="C12" s="29"/>
      <c r="D12" s="25"/>
      <c r="E12" s="7">
        <f t="shared" si="0"/>
        <v>0</v>
      </c>
      <c r="F12" s="7">
        <f t="shared" si="1"/>
        <v>0</v>
      </c>
      <c r="G12" s="7">
        <f t="shared" si="2"/>
        <v>0</v>
      </c>
      <c r="H12" s="288"/>
    </row>
    <row r="13" spans="1:8" ht="12.75">
      <c r="A13" s="21"/>
      <c r="B13" s="29"/>
      <c r="C13" s="29"/>
      <c r="D13" s="25"/>
      <c r="E13" s="7">
        <f t="shared" si="0"/>
        <v>0</v>
      </c>
      <c r="F13" s="7">
        <f t="shared" si="1"/>
        <v>0</v>
      </c>
      <c r="G13" s="7">
        <f t="shared" si="2"/>
        <v>0</v>
      </c>
      <c r="H13" s="288"/>
    </row>
    <row r="14" spans="1:8" ht="12.75">
      <c r="A14" s="78"/>
      <c r="B14" s="29"/>
      <c r="C14" s="29"/>
      <c r="D14" s="79"/>
      <c r="E14" s="7">
        <f aca="true" t="shared" si="3" ref="E14:E21">(B14*D14)</f>
        <v>0</v>
      </c>
      <c r="F14" s="7">
        <f aca="true" t="shared" si="4" ref="F14:F21">(C14*D14)</f>
        <v>0</v>
      </c>
      <c r="G14" s="7">
        <f aca="true" t="shared" si="5" ref="G14:G21">(E14+F14)</f>
        <v>0</v>
      </c>
      <c r="H14" s="288"/>
    </row>
    <row r="15" spans="1:8" ht="12.75">
      <c r="A15" s="78"/>
      <c r="B15" s="29"/>
      <c r="C15" s="29"/>
      <c r="D15" s="79"/>
      <c r="E15" s="7">
        <f t="shared" si="3"/>
        <v>0</v>
      </c>
      <c r="F15" s="7">
        <f t="shared" si="4"/>
        <v>0</v>
      </c>
      <c r="G15" s="7">
        <f t="shared" si="5"/>
        <v>0</v>
      </c>
      <c r="H15" s="288"/>
    </row>
    <row r="16" spans="1:8" ht="12.75">
      <c r="A16" s="78"/>
      <c r="B16" s="29"/>
      <c r="C16" s="29"/>
      <c r="D16" s="79"/>
      <c r="E16" s="7">
        <f t="shared" si="3"/>
        <v>0</v>
      </c>
      <c r="F16" s="7">
        <f t="shared" si="4"/>
        <v>0</v>
      </c>
      <c r="G16" s="7">
        <f t="shared" si="5"/>
        <v>0</v>
      </c>
      <c r="H16" s="288"/>
    </row>
    <row r="17" spans="1:8" ht="12.75">
      <c r="A17" s="78"/>
      <c r="B17" s="29"/>
      <c r="C17" s="29"/>
      <c r="D17" s="79"/>
      <c r="E17" s="7">
        <f t="shared" si="3"/>
        <v>0</v>
      </c>
      <c r="F17" s="7">
        <f t="shared" si="4"/>
        <v>0</v>
      </c>
      <c r="G17" s="7">
        <f t="shared" si="5"/>
        <v>0</v>
      </c>
      <c r="H17" s="288"/>
    </row>
    <row r="18" spans="1:8" ht="12.75">
      <c r="A18" s="78"/>
      <c r="B18" s="29"/>
      <c r="C18" s="29"/>
      <c r="D18" s="79"/>
      <c r="E18" s="7">
        <f t="shared" si="3"/>
        <v>0</v>
      </c>
      <c r="F18" s="7">
        <f t="shared" si="4"/>
        <v>0</v>
      </c>
      <c r="G18" s="7">
        <f t="shared" si="5"/>
        <v>0</v>
      </c>
      <c r="H18" s="288"/>
    </row>
    <row r="19" spans="1:8" ht="12.75">
      <c r="A19" s="78"/>
      <c r="B19" s="29"/>
      <c r="C19" s="29"/>
      <c r="D19" s="79"/>
      <c r="E19" s="7">
        <f t="shared" si="3"/>
        <v>0</v>
      </c>
      <c r="F19" s="7">
        <f t="shared" si="4"/>
        <v>0</v>
      </c>
      <c r="G19" s="7">
        <f t="shared" si="5"/>
        <v>0</v>
      </c>
      <c r="H19" s="288"/>
    </row>
    <row r="20" spans="1:8" ht="12.75">
      <c r="A20" s="78"/>
      <c r="B20" s="29"/>
      <c r="C20" s="29"/>
      <c r="D20" s="79"/>
      <c r="E20" s="7">
        <f t="shared" si="3"/>
        <v>0</v>
      </c>
      <c r="F20" s="7">
        <f t="shared" si="4"/>
        <v>0</v>
      </c>
      <c r="G20" s="7">
        <f t="shared" si="5"/>
        <v>0</v>
      </c>
      <c r="H20" s="288"/>
    </row>
    <row r="21" spans="1:8" ht="12.75">
      <c r="A21" s="78"/>
      <c r="B21" s="29"/>
      <c r="C21" s="29"/>
      <c r="D21" s="79"/>
      <c r="E21" s="7">
        <f t="shared" si="3"/>
        <v>0</v>
      </c>
      <c r="F21" s="7">
        <f t="shared" si="4"/>
        <v>0</v>
      </c>
      <c r="G21" s="7">
        <f t="shared" si="5"/>
        <v>0</v>
      </c>
      <c r="H21" s="288"/>
    </row>
    <row r="22" spans="1:8" ht="12.75">
      <c r="A22" s="78"/>
      <c r="B22" s="29"/>
      <c r="C22" s="29"/>
      <c r="D22" s="32"/>
      <c r="E22" s="7">
        <f>(B22*D22)</f>
        <v>0</v>
      </c>
      <c r="F22" s="7">
        <f>(C22*D22)</f>
        <v>0</v>
      </c>
      <c r="G22" s="7">
        <f>(E22+F22)</f>
        <v>0</v>
      </c>
      <c r="H22" s="288"/>
    </row>
    <row r="23" spans="1:8" ht="12.75">
      <c r="A23" s="78"/>
      <c r="B23" s="29"/>
      <c r="C23" s="29"/>
      <c r="D23" s="32"/>
      <c r="E23" s="7">
        <f>(B23*D23)</f>
        <v>0</v>
      </c>
      <c r="F23" s="7">
        <f>(C23*D23)</f>
        <v>0</v>
      </c>
      <c r="G23" s="7">
        <f>(E23+F23)</f>
        <v>0</v>
      </c>
      <c r="H23" s="288"/>
    </row>
    <row r="24" spans="1:8" ht="12.75">
      <c r="A24" s="78"/>
      <c r="B24" s="29"/>
      <c r="C24" s="29"/>
      <c r="D24" s="32"/>
      <c r="E24" s="7">
        <f>(B24*D24)</f>
        <v>0</v>
      </c>
      <c r="F24" s="7">
        <f>(C24*D24)</f>
        <v>0</v>
      </c>
      <c r="G24" s="7">
        <f>(E24+F24)</f>
        <v>0</v>
      </c>
      <c r="H24" s="288"/>
    </row>
    <row r="25" spans="1:8" ht="12.75">
      <c r="A25" s="78"/>
      <c r="B25" s="29"/>
      <c r="C25" s="29"/>
      <c r="D25" s="32"/>
      <c r="E25" s="7">
        <f>(B25*D25)</f>
        <v>0</v>
      </c>
      <c r="F25" s="7">
        <f>(C25*D25)</f>
        <v>0</v>
      </c>
      <c r="G25" s="7">
        <f>(E25+F25)</f>
        <v>0</v>
      </c>
      <c r="H25" s="288"/>
    </row>
    <row r="26" spans="1:8" ht="12.75">
      <c r="A26" s="277"/>
      <c r="B26" s="277"/>
      <c r="C26" s="277"/>
      <c r="D26" s="277"/>
      <c r="E26" s="277"/>
      <c r="F26" s="277"/>
      <c r="G26" s="277"/>
      <c r="H26" s="288"/>
    </row>
    <row r="27" spans="1:8" ht="15">
      <c r="A27" s="297" t="s">
        <v>154</v>
      </c>
      <c r="B27" s="298"/>
      <c r="C27" s="298"/>
      <c r="D27" s="299"/>
      <c r="E27" s="34">
        <f>SUM(E6:E25)</f>
        <v>0</v>
      </c>
      <c r="F27" s="34">
        <f>SUM(F6:F25)</f>
        <v>0</v>
      </c>
      <c r="G27" s="34">
        <f>(E27+F27)</f>
        <v>0</v>
      </c>
      <c r="H27" s="288"/>
    </row>
    <row r="28" spans="1:8" ht="15">
      <c r="A28" s="297" t="s">
        <v>27</v>
      </c>
      <c r="B28" s="298"/>
      <c r="C28" s="298"/>
      <c r="D28" s="299"/>
      <c r="E28" s="34">
        <f>E4</f>
        <v>0</v>
      </c>
      <c r="F28" s="34">
        <f>F4</f>
        <v>0</v>
      </c>
      <c r="G28" s="34">
        <f>E28+F28</f>
        <v>0</v>
      </c>
      <c r="H28" s="288"/>
    </row>
    <row r="29" spans="1:8" ht="15" customHeight="1">
      <c r="A29" s="300" t="s">
        <v>43</v>
      </c>
      <c r="B29" s="301"/>
      <c r="C29" s="301"/>
      <c r="D29" s="302"/>
      <c r="E29" s="47">
        <f>E27+E28</f>
        <v>0</v>
      </c>
      <c r="F29" s="47">
        <f>F27+F28</f>
        <v>0</v>
      </c>
      <c r="G29" s="47">
        <f>G27+G28</f>
        <v>0</v>
      </c>
      <c r="H29" s="288"/>
    </row>
    <row r="30" spans="1:8" ht="35.25" customHeight="1">
      <c r="A30" s="293" t="s">
        <v>86</v>
      </c>
      <c r="B30" s="294"/>
      <c r="C30" s="295"/>
      <c r="D30" s="174"/>
      <c r="E30" s="319"/>
      <c r="F30" s="320"/>
      <c r="G30" s="47">
        <f>(D30*D4)</f>
        <v>0</v>
      </c>
      <c r="H30" s="288"/>
    </row>
    <row r="31" spans="1:8" ht="12.75">
      <c r="A31" s="290"/>
      <c r="B31" s="290"/>
      <c r="C31" s="290"/>
      <c r="D31" s="290"/>
      <c r="E31" s="290"/>
      <c r="F31" s="290"/>
      <c r="G31" s="290"/>
      <c r="H31" s="289"/>
    </row>
  </sheetData>
  <sheetProtection sheet="1"/>
  <mergeCells count="18">
    <mergeCell ref="D2:D3"/>
    <mergeCell ref="E2:E3"/>
    <mergeCell ref="F2:F3"/>
    <mergeCell ref="E30:F30"/>
    <mergeCell ref="A27:D27"/>
    <mergeCell ref="A28:D28"/>
    <mergeCell ref="A29:D29"/>
    <mergeCell ref="A30:C30"/>
    <mergeCell ref="I1:I2"/>
    <mergeCell ref="A26:G26"/>
    <mergeCell ref="A5:G5"/>
    <mergeCell ref="A1:G1"/>
    <mergeCell ref="A2:A3"/>
    <mergeCell ref="B2:B3"/>
    <mergeCell ref="H1:H31"/>
    <mergeCell ref="A31:G31"/>
    <mergeCell ref="G2:G3"/>
    <mergeCell ref="C2:C3"/>
  </mergeCells>
  <printOptions gridLines="1"/>
  <pageMargins left="0.75" right="0.75" top="1" bottom="1" header="0.5" footer="0.5"/>
  <pageSetup blackAndWhite="1" fitToHeight="1" fitToWidth="1" horizontalDpi="300" verticalDpi="300" orientation="portrait" scale="75" r:id="rId1"/>
</worksheet>
</file>

<file path=xl/worksheets/sheet16.xml><?xml version="1.0" encoding="utf-8"?>
<worksheet xmlns="http://schemas.openxmlformats.org/spreadsheetml/2006/main" xmlns:r="http://schemas.openxmlformats.org/officeDocument/2006/relationships">
  <sheetPr>
    <tabColor rgb="FF002060"/>
  </sheetPr>
  <dimension ref="A1:F32"/>
  <sheetViews>
    <sheetView zoomScale="90" zoomScaleNormal="90" zoomScalePageLayoutView="0" workbookViewId="0" topLeftCell="A1">
      <pane ySplit="14" topLeftCell="A15" activePane="bottomLeft" state="frozen"/>
      <selection pane="topLeft" activeCell="I39" sqref="I39"/>
      <selection pane="bottomLeft" activeCell="A17" sqref="A17"/>
    </sheetView>
  </sheetViews>
  <sheetFormatPr defaultColWidth="9.140625" defaultRowHeight="12.75"/>
  <cols>
    <col min="1" max="1" width="46.00390625" style="0" customWidth="1"/>
    <col min="2" max="2" width="15.140625" style="0" customWidth="1"/>
    <col min="3" max="3" width="14.00390625" style="0" customWidth="1"/>
    <col min="4" max="4" width="13.140625" style="0" customWidth="1"/>
    <col min="5" max="5" width="39.00390625" style="0" customWidth="1"/>
    <col min="6" max="6" width="2.8515625" style="0" customWidth="1"/>
  </cols>
  <sheetData>
    <row r="1" spans="1:6" ht="15.75">
      <c r="A1" s="372" t="s">
        <v>37</v>
      </c>
      <c r="B1" s="372"/>
      <c r="C1" s="372"/>
      <c r="D1" s="372"/>
      <c r="E1" s="372"/>
      <c r="F1" s="287"/>
    </row>
    <row r="2" spans="1:6" ht="22.5" customHeight="1">
      <c r="A2" s="373" t="s">
        <v>164</v>
      </c>
      <c r="B2" s="374"/>
      <c r="C2" s="374"/>
      <c r="D2" s="374"/>
      <c r="E2" s="375"/>
      <c r="F2" s="288"/>
    </row>
    <row r="3" spans="1:6" ht="15" customHeight="1">
      <c r="A3" s="376"/>
      <c r="B3" s="377"/>
      <c r="C3" s="378"/>
      <c r="D3" s="378"/>
      <c r="E3" s="379"/>
      <c r="F3" s="288"/>
    </row>
    <row r="4" spans="1:6" ht="15">
      <c r="A4" s="136" t="s">
        <v>52</v>
      </c>
      <c r="B4" s="70">
        <v>1000</v>
      </c>
      <c r="C4" s="72"/>
      <c r="D4" s="72"/>
      <c r="E4" s="137"/>
      <c r="F4" s="288"/>
    </row>
    <row r="5" spans="1:6" ht="15">
      <c r="A5" s="136" t="s">
        <v>64</v>
      </c>
      <c r="B5" s="70">
        <v>150000</v>
      </c>
      <c r="C5" s="357" t="s">
        <v>167</v>
      </c>
      <c r="D5" s="357"/>
      <c r="E5" s="358"/>
      <c r="F5" s="288"/>
    </row>
    <row r="6" spans="1:6" ht="15">
      <c r="A6" s="136" t="s">
        <v>44</v>
      </c>
      <c r="B6" s="70">
        <v>6</v>
      </c>
      <c r="C6" s="357"/>
      <c r="D6" s="357"/>
      <c r="E6" s="358"/>
      <c r="F6" s="288"/>
    </row>
    <row r="7" spans="1:6" ht="15" customHeight="1">
      <c r="A7" s="136" t="s">
        <v>83</v>
      </c>
      <c r="B7" s="29">
        <v>0.5</v>
      </c>
      <c r="C7" s="357" t="s">
        <v>168</v>
      </c>
      <c r="D7" s="357"/>
      <c r="E7" s="358"/>
      <c r="F7" s="288"/>
    </row>
    <row r="8" spans="1:6" ht="15">
      <c r="A8" s="136" t="s">
        <v>53</v>
      </c>
      <c r="B8" s="71">
        <v>0.9</v>
      </c>
      <c r="C8" s="357"/>
      <c r="D8" s="357"/>
      <c r="E8" s="358"/>
      <c r="F8" s="288"/>
    </row>
    <row r="9" spans="1:6" ht="15">
      <c r="A9" s="10" t="s">
        <v>54</v>
      </c>
      <c r="B9" s="68">
        <f>(B5/12)*B6</f>
        <v>75000</v>
      </c>
      <c r="C9" s="5"/>
      <c r="D9" s="5"/>
      <c r="E9" s="138"/>
      <c r="F9" s="288"/>
    </row>
    <row r="10" spans="1:6" ht="15">
      <c r="A10" s="10" t="s">
        <v>45</v>
      </c>
      <c r="B10" s="7">
        <f>B7*B8*B9</f>
        <v>33750</v>
      </c>
      <c r="C10" s="5"/>
      <c r="D10" s="5"/>
      <c r="E10" s="138"/>
      <c r="F10" s="288"/>
    </row>
    <row r="11" spans="1:6" ht="15">
      <c r="A11" s="10" t="s">
        <v>46</v>
      </c>
      <c r="B11" s="7">
        <f>(B10/$B$4)</f>
        <v>33.75</v>
      </c>
      <c r="C11" s="139"/>
      <c r="D11" s="139"/>
      <c r="E11" s="140"/>
      <c r="F11" s="288"/>
    </row>
    <row r="12" spans="1:6" ht="15">
      <c r="A12" s="380"/>
      <c r="B12" s="381"/>
      <c r="C12" s="382"/>
      <c r="D12" s="382"/>
      <c r="E12" s="383"/>
      <c r="F12" s="288"/>
    </row>
    <row r="13" spans="1:6" ht="15">
      <c r="A13" s="10" t="s">
        <v>47</v>
      </c>
      <c r="B13" s="308" t="s">
        <v>81</v>
      </c>
      <c r="C13" s="308" t="s">
        <v>75</v>
      </c>
      <c r="D13" s="308" t="s">
        <v>82</v>
      </c>
      <c r="E13" s="303" t="s">
        <v>101</v>
      </c>
      <c r="F13" s="288"/>
    </row>
    <row r="14" spans="1:6" ht="21.75" customHeight="1">
      <c r="A14" s="92" t="s">
        <v>169</v>
      </c>
      <c r="B14" s="344"/>
      <c r="C14" s="344"/>
      <c r="D14" s="344"/>
      <c r="E14" s="361"/>
      <c r="F14" s="288"/>
    </row>
    <row r="15" spans="1:6" ht="15">
      <c r="A15" s="44"/>
      <c r="B15" s="41"/>
      <c r="C15" s="41"/>
      <c r="D15" s="28"/>
      <c r="E15" s="73">
        <f>(B15+C15)*D15</f>
        <v>0</v>
      </c>
      <c r="F15" s="288"/>
    </row>
    <row r="16" spans="1:6" ht="15">
      <c r="A16" s="27"/>
      <c r="B16" s="21"/>
      <c r="C16" s="21"/>
      <c r="D16" s="28"/>
      <c r="E16" s="73">
        <f aca="true" t="shared" si="0" ref="E16:E24">(B16+C16)*D16</f>
        <v>0</v>
      </c>
      <c r="F16" s="288"/>
    </row>
    <row r="17" spans="1:6" ht="12.75">
      <c r="A17" s="21"/>
      <c r="B17" s="21"/>
      <c r="C17" s="21"/>
      <c r="D17" s="28"/>
      <c r="E17" s="73">
        <f t="shared" si="0"/>
        <v>0</v>
      </c>
      <c r="F17" s="288"/>
    </row>
    <row r="18" spans="1:6" ht="12.75">
      <c r="A18" s="21"/>
      <c r="B18" s="21"/>
      <c r="C18" s="21"/>
      <c r="D18" s="28"/>
      <c r="E18" s="73">
        <f t="shared" si="0"/>
        <v>0</v>
      </c>
      <c r="F18" s="288"/>
    </row>
    <row r="19" spans="1:6" ht="12.75">
      <c r="A19" s="21"/>
      <c r="B19" s="21"/>
      <c r="C19" s="21"/>
      <c r="D19" s="28"/>
      <c r="E19" s="73">
        <f t="shared" si="0"/>
        <v>0</v>
      </c>
      <c r="F19" s="288"/>
    </row>
    <row r="20" spans="1:6" ht="15">
      <c r="A20" s="27"/>
      <c r="B20" s="21"/>
      <c r="C20" s="21"/>
      <c r="D20" s="28"/>
      <c r="E20" s="73">
        <f t="shared" si="0"/>
        <v>0</v>
      </c>
      <c r="F20" s="288"/>
    </row>
    <row r="21" spans="1:6" ht="15">
      <c r="A21" s="27"/>
      <c r="B21" s="21"/>
      <c r="C21" s="21"/>
      <c r="D21" s="28"/>
      <c r="E21" s="73">
        <f t="shared" si="0"/>
        <v>0</v>
      </c>
      <c r="F21" s="288"/>
    </row>
    <row r="22" spans="1:6" ht="15">
      <c r="A22" s="27"/>
      <c r="B22" s="21"/>
      <c r="C22" s="21"/>
      <c r="D22" s="28"/>
      <c r="E22" s="73">
        <f t="shared" si="0"/>
        <v>0</v>
      </c>
      <c r="F22" s="288"/>
    </row>
    <row r="23" spans="1:6" ht="15">
      <c r="A23" s="27"/>
      <c r="B23" s="21"/>
      <c r="C23" s="21"/>
      <c r="D23" s="28"/>
      <c r="E23" s="73">
        <f t="shared" si="0"/>
        <v>0</v>
      </c>
      <c r="F23" s="288"/>
    </row>
    <row r="24" spans="1:6" ht="12.75">
      <c r="A24" s="21"/>
      <c r="B24" s="21"/>
      <c r="C24" s="21"/>
      <c r="D24" s="28"/>
      <c r="E24" s="73">
        <f t="shared" si="0"/>
        <v>0</v>
      </c>
      <c r="F24" s="288"/>
    </row>
    <row r="25" spans="1:6" ht="12.75">
      <c r="A25" s="277"/>
      <c r="B25" s="277"/>
      <c r="C25" s="277"/>
      <c r="D25" s="277"/>
      <c r="E25" s="277"/>
      <c r="F25" s="288"/>
    </row>
    <row r="26" spans="1:6" ht="12.75" customHeight="1">
      <c r="A26" s="367" t="s">
        <v>65</v>
      </c>
      <c r="B26" s="367"/>
      <c r="C26" s="368"/>
      <c r="D26" s="362">
        <f>SUM(D15:D24)</f>
        <v>0</v>
      </c>
      <c r="E26" s="365"/>
      <c r="F26" s="288"/>
    </row>
    <row r="27" spans="1:6" ht="33.75" customHeight="1">
      <c r="A27" s="369"/>
      <c r="B27" s="369"/>
      <c r="C27" s="370"/>
      <c r="D27" s="363"/>
      <c r="E27" s="366"/>
      <c r="F27" s="288"/>
    </row>
    <row r="28" spans="1:6" ht="12.75">
      <c r="A28" s="360"/>
      <c r="B28" s="360"/>
      <c r="C28" s="360"/>
      <c r="D28" s="360"/>
      <c r="E28" s="360"/>
      <c r="F28" s="288"/>
    </row>
    <row r="29" spans="1:6" ht="30" customHeight="1">
      <c r="A29" s="133" t="s">
        <v>80</v>
      </c>
      <c r="B29" s="135">
        <f>SUM(B15:B24)*D26</f>
        <v>0</v>
      </c>
      <c r="C29" s="135">
        <f>SUM(C15:C24)*D26</f>
        <v>0</v>
      </c>
      <c r="D29" s="11"/>
      <c r="E29" s="134">
        <f>B29+C29</f>
        <v>0</v>
      </c>
      <c r="F29" s="288"/>
    </row>
    <row r="30" spans="1:6" ht="12.75">
      <c r="A30" s="364"/>
      <c r="B30" s="364"/>
      <c r="C30" s="290"/>
      <c r="D30" s="290"/>
      <c r="E30" s="290"/>
      <c r="F30" s="288"/>
    </row>
    <row r="31" spans="1:6" ht="31.5" customHeight="1">
      <c r="A31" s="359" t="s">
        <v>34</v>
      </c>
      <c r="B31" s="359"/>
      <c r="C31" s="174"/>
      <c r="D31" s="384">
        <f>C31*D26</f>
        <v>0</v>
      </c>
      <c r="E31" s="385"/>
      <c r="F31" s="288"/>
    </row>
    <row r="32" spans="1:6" ht="12.75">
      <c r="A32" s="371"/>
      <c r="B32" s="371"/>
      <c r="C32" s="290"/>
      <c r="D32" s="290"/>
      <c r="E32" s="290"/>
      <c r="F32" s="289"/>
    </row>
  </sheetData>
  <sheetProtection sheet="1"/>
  <mergeCells count="19">
    <mergeCell ref="F1:F32"/>
    <mergeCell ref="A32:E32"/>
    <mergeCell ref="A1:E1"/>
    <mergeCell ref="B13:B14"/>
    <mergeCell ref="C13:C14"/>
    <mergeCell ref="D13:D14"/>
    <mergeCell ref="A2:E3"/>
    <mergeCell ref="A12:E12"/>
    <mergeCell ref="D31:E31"/>
    <mergeCell ref="C5:E6"/>
    <mergeCell ref="C7:E8"/>
    <mergeCell ref="A31:B31"/>
    <mergeCell ref="A28:E28"/>
    <mergeCell ref="E13:E14"/>
    <mergeCell ref="D26:D27"/>
    <mergeCell ref="A30:E30"/>
    <mergeCell ref="A25:E25"/>
    <mergeCell ref="E26:E27"/>
    <mergeCell ref="A26:C27"/>
  </mergeCells>
  <printOptions gridLines="1"/>
  <pageMargins left="0" right="0" top="0" bottom="0" header="0" footer="0.5"/>
  <pageSetup blackAndWhite="1" horizontalDpi="300" verticalDpi="300" orientation="landscape" r:id="rId1"/>
</worksheet>
</file>

<file path=xl/worksheets/sheet17.xml><?xml version="1.0" encoding="utf-8"?>
<worksheet xmlns="http://schemas.openxmlformats.org/spreadsheetml/2006/main" xmlns:r="http://schemas.openxmlformats.org/officeDocument/2006/relationships">
  <sheetPr>
    <tabColor rgb="FF002060"/>
    <pageSetUpPr fitToPage="1"/>
  </sheetPr>
  <dimension ref="A1:I28"/>
  <sheetViews>
    <sheetView zoomScalePageLayoutView="0" workbookViewId="0" topLeftCell="A1">
      <pane ySplit="3" topLeftCell="A4" activePane="bottomLeft" state="frozen"/>
      <selection pane="topLeft" activeCell="I39" sqref="I39"/>
      <selection pane="bottomLeft" activeCell="A1" sqref="A1:G1"/>
    </sheetView>
  </sheetViews>
  <sheetFormatPr defaultColWidth="9.140625" defaultRowHeight="12.75"/>
  <cols>
    <col min="1" max="1" width="24.28125" style="0" customWidth="1"/>
    <col min="2" max="2" width="10.8515625" style="0" customWidth="1"/>
    <col min="4" max="4" width="10.140625" style="0" customWidth="1"/>
    <col min="5" max="5" width="15.57421875" style="0" customWidth="1"/>
    <col min="6" max="6" width="13.28125" style="0" customWidth="1"/>
    <col min="7" max="7" width="12.140625" style="0" customWidth="1"/>
    <col min="8" max="8" width="3.00390625" style="0" customWidth="1"/>
    <col min="9" max="9" width="21.8515625" style="0" customWidth="1"/>
  </cols>
  <sheetData>
    <row r="1" spans="1:9" ht="33.75" customHeight="1">
      <c r="A1" s="325" t="s">
        <v>79</v>
      </c>
      <c r="B1" s="325"/>
      <c r="C1" s="325"/>
      <c r="D1" s="325"/>
      <c r="E1" s="325"/>
      <c r="F1" s="325"/>
      <c r="G1" s="325"/>
      <c r="H1" s="386"/>
      <c r="I1" s="90" t="s">
        <v>167</v>
      </c>
    </row>
    <row r="2" spans="1:9" ht="33.75" customHeight="1">
      <c r="A2" s="105" t="s">
        <v>50</v>
      </c>
      <c r="B2" s="92" t="s">
        <v>71</v>
      </c>
      <c r="C2" s="92" t="s">
        <v>72</v>
      </c>
      <c r="D2" s="92" t="s">
        <v>13</v>
      </c>
      <c r="E2" s="92" t="s">
        <v>102</v>
      </c>
      <c r="F2" s="92" t="s">
        <v>103</v>
      </c>
      <c r="G2" s="92" t="s">
        <v>104</v>
      </c>
      <c r="H2" s="386"/>
      <c r="I2" s="91" t="s">
        <v>168</v>
      </c>
    </row>
    <row r="3" spans="1:8" ht="12.75" customHeight="1">
      <c r="A3" s="277"/>
      <c r="B3" s="277"/>
      <c r="C3" s="277"/>
      <c r="D3" s="277"/>
      <c r="E3" s="277"/>
      <c r="F3" s="277"/>
      <c r="G3" s="277"/>
      <c r="H3" s="386"/>
    </row>
    <row r="4" spans="1:9" ht="12.75" customHeight="1">
      <c r="A4" s="21" t="s">
        <v>377</v>
      </c>
      <c r="B4" s="29">
        <v>33.278</v>
      </c>
      <c r="C4" s="29">
        <v>1.6236000000000002</v>
      </c>
      <c r="D4" s="30">
        <v>20.36</v>
      </c>
      <c r="E4" s="7">
        <f>(B4*D4)</f>
        <v>677.54008</v>
      </c>
      <c r="F4" s="7">
        <f>(C4*D4)</f>
        <v>33.056496</v>
      </c>
      <c r="G4" s="7">
        <f>(E4+F4)</f>
        <v>710.596576</v>
      </c>
      <c r="H4" s="386"/>
      <c r="I4" s="91"/>
    </row>
    <row r="5" spans="1:8" ht="12.75">
      <c r="A5" s="78"/>
      <c r="B5" s="29"/>
      <c r="C5" s="29"/>
      <c r="D5" s="30"/>
      <c r="E5" s="7">
        <f>(B5*D5)</f>
        <v>0</v>
      </c>
      <c r="F5" s="7">
        <f>(C5*D5)</f>
        <v>0</v>
      </c>
      <c r="G5" s="7">
        <f>(E5+F5)</f>
        <v>0</v>
      </c>
      <c r="H5" s="386"/>
    </row>
    <row r="6" spans="1:8" ht="12.75">
      <c r="A6" s="78"/>
      <c r="B6" s="29"/>
      <c r="C6" s="29"/>
      <c r="D6" s="30"/>
      <c r="E6" s="7">
        <f>(B6*D6)</f>
        <v>0</v>
      </c>
      <c r="F6" s="7">
        <f aca="true" t="shared" si="0" ref="F6:F15">(C6*D6)</f>
        <v>0</v>
      </c>
      <c r="G6" s="7">
        <f aca="true" t="shared" si="1" ref="G6:G15">(E6+F6)</f>
        <v>0</v>
      </c>
      <c r="H6" s="386"/>
    </row>
    <row r="7" spans="1:8" ht="12.75">
      <c r="A7" s="21"/>
      <c r="B7" s="29"/>
      <c r="C7" s="29"/>
      <c r="D7" s="30"/>
      <c r="E7" s="7">
        <f aca="true" t="shared" si="2" ref="E7:E15">(B7*D7)</f>
        <v>0</v>
      </c>
      <c r="F7" s="7">
        <f t="shared" si="0"/>
        <v>0</v>
      </c>
      <c r="G7" s="7">
        <f t="shared" si="1"/>
        <v>0</v>
      </c>
      <c r="H7" s="386"/>
    </row>
    <row r="8" spans="1:8" ht="12.75">
      <c r="A8" s="21"/>
      <c r="B8" s="29"/>
      <c r="C8" s="29"/>
      <c r="D8" s="30"/>
      <c r="E8" s="7">
        <f t="shared" si="2"/>
        <v>0</v>
      </c>
      <c r="F8" s="7">
        <f t="shared" si="0"/>
        <v>0</v>
      </c>
      <c r="G8" s="7">
        <f t="shared" si="1"/>
        <v>0</v>
      </c>
      <c r="H8" s="386"/>
    </row>
    <row r="9" spans="1:8" ht="12.75">
      <c r="A9" s="21"/>
      <c r="B9" s="29"/>
      <c r="C9" s="29"/>
      <c r="D9" s="30"/>
      <c r="E9" s="7">
        <f t="shared" si="2"/>
        <v>0</v>
      </c>
      <c r="F9" s="7">
        <f t="shared" si="0"/>
        <v>0</v>
      </c>
      <c r="G9" s="7">
        <f t="shared" si="1"/>
        <v>0</v>
      </c>
      <c r="H9" s="386"/>
    </row>
    <row r="10" spans="1:8" ht="12.75">
      <c r="A10" s="21"/>
      <c r="B10" s="29"/>
      <c r="C10" s="29"/>
      <c r="D10" s="30"/>
      <c r="E10" s="7">
        <f t="shared" si="2"/>
        <v>0</v>
      </c>
      <c r="F10" s="7">
        <f t="shared" si="0"/>
        <v>0</v>
      </c>
      <c r="G10" s="7">
        <f t="shared" si="1"/>
        <v>0</v>
      </c>
      <c r="H10" s="386"/>
    </row>
    <row r="11" spans="1:8" ht="12.75">
      <c r="A11" s="21"/>
      <c r="B11" s="29"/>
      <c r="C11" s="29"/>
      <c r="D11" s="30"/>
      <c r="E11" s="7">
        <f t="shared" si="2"/>
        <v>0</v>
      </c>
      <c r="F11" s="7">
        <f t="shared" si="0"/>
        <v>0</v>
      </c>
      <c r="G11" s="7">
        <f t="shared" si="1"/>
        <v>0</v>
      </c>
      <c r="H11" s="386"/>
    </row>
    <row r="12" spans="1:8" ht="12.75">
      <c r="A12" s="21"/>
      <c r="B12" s="29"/>
      <c r="C12" s="29"/>
      <c r="D12" s="30"/>
      <c r="E12" s="7">
        <f t="shared" si="2"/>
        <v>0</v>
      </c>
      <c r="F12" s="7">
        <f t="shared" si="0"/>
        <v>0</v>
      </c>
      <c r="G12" s="7">
        <f t="shared" si="1"/>
        <v>0</v>
      </c>
      <c r="H12" s="386"/>
    </row>
    <row r="13" spans="1:8" ht="12.75">
      <c r="A13" s="21"/>
      <c r="B13" s="29"/>
      <c r="C13" s="29"/>
      <c r="D13" s="30"/>
      <c r="E13" s="7">
        <f t="shared" si="2"/>
        <v>0</v>
      </c>
      <c r="F13" s="7">
        <f t="shared" si="0"/>
        <v>0</v>
      </c>
      <c r="G13" s="7">
        <f t="shared" si="1"/>
        <v>0</v>
      </c>
      <c r="H13" s="386"/>
    </row>
    <row r="14" spans="1:8" ht="12.75">
      <c r="A14" s="21"/>
      <c r="B14" s="29"/>
      <c r="C14" s="29"/>
      <c r="D14" s="30"/>
      <c r="E14" s="7">
        <f t="shared" si="2"/>
        <v>0</v>
      </c>
      <c r="F14" s="7">
        <f t="shared" si="0"/>
        <v>0</v>
      </c>
      <c r="G14" s="7">
        <f t="shared" si="1"/>
        <v>0</v>
      </c>
      <c r="H14" s="386"/>
    </row>
    <row r="15" spans="1:8" ht="12.75">
      <c r="A15" s="21"/>
      <c r="B15" s="29"/>
      <c r="C15" s="29"/>
      <c r="D15" s="30"/>
      <c r="E15" s="7">
        <f t="shared" si="2"/>
        <v>0</v>
      </c>
      <c r="F15" s="7">
        <f t="shared" si="0"/>
        <v>0</v>
      </c>
      <c r="G15" s="7">
        <f t="shared" si="1"/>
        <v>0</v>
      </c>
      <c r="H15" s="386"/>
    </row>
    <row r="16" spans="1:8" ht="12.75">
      <c r="A16" s="21"/>
      <c r="B16" s="81"/>
      <c r="C16" s="29"/>
      <c r="D16" s="63"/>
      <c r="E16" s="7">
        <f aca="true" t="shared" si="3" ref="E16:E24">(B16*D16)</f>
        <v>0</v>
      </c>
      <c r="F16" s="7">
        <f aca="true" t="shared" si="4" ref="F16:F24">(C16*D16)</f>
        <v>0</v>
      </c>
      <c r="G16" s="7">
        <f aca="true" t="shared" si="5" ref="G16:G24">(E16+F16)</f>
        <v>0</v>
      </c>
      <c r="H16" s="386"/>
    </row>
    <row r="17" spans="1:8" ht="12.75">
      <c r="A17" s="21"/>
      <c r="B17" s="81"/>
      <c r="C17" s="29"/>
      <c r="D17" s="63"/>
      <c r="E17" s="7">
        <f t="shared" si="3"/>
        <v>0</v>
      </c>
      <c r="F17" s="7">
        <f t="shared" si="4"/>
        <v>0</v>
      </c>
      <c r="G17" s="7">
        <f t="shared" si="5"/>
        <v>0</v>
      </c>
      <c r="H17" s="386"/>
    </row>
    <row r="18" spans="1:8" ht="12.75">
      <c r="A18" s="21"/>
      <c r="B18" s="29"/>
      <c r="C18" s="29"/>
      <c r="D18" s="63"/>
      <c r="E18" s="7">
        <f t="shared" si="3"/>
        <v>0</v>
      </c>
      <c r="F18" s="7">
        <f t="shared" si="4"/>
        <v>0</v>
      </c>
      <c r="G18" s="7">
        <f t="shared" si="5"/>
        <v>0</v>
      </c>
      <c r="H18" s="386"/>
    </row>
    <row r="19" spans="1:8" ht="12.75">
      <c r="A19" s="21"/>
      <c r="B19" s="29"/>
      <c r="C19" s="29"/>
      <c r="D19" s="63"/>
      <c r="E19" s="7">
        <f t="shared" si="3"/>
        <v>0</v>
      </c>
      <c r="F19" s="7">
        <f t="shared" si="4"/>
        <v>0</v>
      </c>
      <c r="G19" s="7">
        <f t="shared" si="5"/>
        <v>0</v>
      </c>
      <c r="H19" s="386"/>
    </row>
    <row r="20" spans="1:8" ht="12.75">
      <c r="A20" s="21"/>
      <c r="B20" s="29"/>
      <c r="C20" s="29"/>
      <c r="D20" s="63"/>
      <c r="E20" s="7">
        <f t="shared" si="3"/>
        <v>0</v>
      </c>
      <c r="F20" s="7">
        <f t="shared" si="4"/>
        <v>0</v>
      </c>
      <c r="G20" s="7">
        <f t="shared" si="5"/>
        <v>0</v>
      </c>
      <c r="H20" s="386"/>
    </row>
    <row r="21" spans="1:8" ht="12.75">
      <c r="A21" s="21"/>
      <c r="B21" s="29"/>
      <c r="C21" s="29"/>
      <c r="D21" s="63"/>
      <c r="E21" s="7">
        <f t="shared" si="3"/>
        <v>0</v>
      </c>
      <c r="F21" s="7">
        <f t="shared" si="4"/>
        <v>0</v>
      </c>
      <c r="G21" s="7">
        <f t="shared" si="5"/>
        <v>0</v>
      </c>
      <c r="H21" s="386"/>
    </row>
    <row r="22" spans="1:8" ht="12.75">
      <c r="A22" s="21"/>
      <c r="B22" s="29"/>
      <c r="C22" s="29"/>
      <c r="D22" s="63"/>
      <c r="E22" s="7">
        <f t="shared" si="3"/>
        <v>0</v>
      </c>
      <c r="F22" s="7">
        <f t="shared" si="4"/>
        <v>0</v>
      </c>
      <c r="G22" s="7">
        <f t="shared" si="5"/>
        <v>0</v>
      </c>
      <c r="H22" s="386"/>
    </row>
    <row r="23" spans="1:8" ht="12.75">
      <c r="A23" s="21"/>
      <c r="B23" s="29"/>
      <c r="C23" s="29"/>
      <c r="D23" s="63"/>
      <c r="E23" s="7">
        <f t="shared" si="3"/>
        <v>0</v>
      </c>
      <c r="F23" s="7">
        <f t="shared" si="4"/>
        <v>0</v>
      </c>
      <c r="G23" s="7">
        <f t="shared" si="5"/>
        <v>0</v>
      </c>
      <c r="H23" s="386"/>
    </row>
    <row r="24" spans="1:8" ht="12.75">
      <c r="A24" s="21"/>
      <c r="B24" s="29"/>
      <c r="C24" s="29"/>
      <c r="D24" s="63"/>
      <c r="E24" s="7">
        <f t="shared" si="3"/>
        <v>0</v>
      </c>
      <c r="F24" s="7">
        <f t="shared" si="4"/>
        <v>0</v>
      </c>
      <c r="G24" s="7">
        <f t="shared" si="5"/>
        <v>0</v>
      </c>
      <c r="H24" s="386"/>
    </row>
    <row r="25" spans="1:8" ht="12.75">
      <c r="A25" s="290"/>
      <c r="B25" s="290"/>
      <c r="C25" s="290"/>
      <c r="D25" s="290"/>
      <c r="E25" s="290"/>
      <c r="F25" s="290"/>
      <c r="G25" s="290"/>
      <c r="H25" s="386"/>
    </row>
    <row r="26" spans="1:8" ht="18.75" customHeight="1">
      <c r="A26" s="293" t="s">
        <v>106</v>
      </c>
      <c r="B26" s="387"/>
      <c r="C26" s="387"/>
      <c r="D26" s="388"/>
      <c r="E26" s="47">
        <f>SUM(E4:E24)</f>
        <v>677.54008</v>
      </c>
      <c r="F26" s="47">
        <f>SUM(F4:F24)</f>
        <v>33.056496</v>
      </c>
      <c r="G26" s="47">
        <f>(E26+F26)</f>
        <v>710.596576</v>
      </c>
      <c r="H26" s="386"/>
    </row>
    <row r="27" spans="1:8" ht="12.75">
      <c r="A27" s="290"/>
      <c r="B27" s="290"/>
      <c r="C27" s="290"/>
      <c r="D27" s="290"/>
      <c r="E27" s="290"/>
      <c r="F27" s="290"/>
      <c r="G27" s="290"/>
      <c r="H27" s="371"/>
    </row>
    <row r="28" ht="12.75">
      <c r="D28" s="60"/>
    </row>
  </sheetData>
  <sheetProtection sheet="1"/>
  <mergeCells count="6">
    <mergeCell ref="H1:H27"/>
    <mergeCell ref="A27:G27"/>
    <mergeCell ref="A26:D26"/>
    <mergeCell ref="A25:G25"/>
    <mergeCell ref="A3:G3"/>
    <mergeCell ref="A1:G1"/>
  </mergeCells>
  <printOptions gridLines="1"/>
  <pageMargins left="0.75" right="0.75" top="1" bottom="1" header="0.5" footer="0.5"/>
  <pageSetup blackAndWhite="1" fitToHeight="1" fitToWidth="1" horizontalDpi="300" verticalDpi="300" orientation="portrait" scale="90" r:id="rId1"/>
</worksheet>
</file>

<file path=xl/worksheets/sheet18.xml><?xml version="1.0" encoding="utf-8"?>
<worksheet xmlns="http://schemas.openxmlformats.org/spreadsheetml/2006/main" xmlns:r="http://schemas.openxmlformats.org/officeDocument/2006/relationships">
  <sheetPr>
    <tabColor rgb="FF002060"/>
    <pageSetUpPr fitToPage="1"/>
  </sheetPr>
  <dimension ref="A1:O25"/>
  <sheetViews>
    <sheetView zoomScalePageLayoutView="0" workbookViewId="0" topLeftCell="A1">
      <pane ySplit="3" topLeftCell="A4" activePane="bottomLeft" state="frozen"/>
      <selection pane="topLeft" activeCell="I39" sqref="I39"/>
      <selection pane="bottomLeft" activeCell="B11" sqref="B11"/>
    </sheetView>
  </sheetViews>
  <sheetFormatPr defaultColWidth="9.140625" defaultRowHeight="12.75"/>
  <cols>
    <col min="1" max="1" width="30.421875" style="0" customWidth="1"/>
    <col min="2" max="2" width="13.421875" style="0" customWidth="1"/>
    <col min="3" max="3" width="14.57421875" style="0" customWidth="1"/>
    <col min="4" max="4" width="13.421875" style="0" customWidth="1"/>
    <col min="5" max="5" width="14.7109375" style="0" customWidth="1"/>
    <col min="6" max="6" width="16.8515625" style="0" customWidth="1"/>
    <col min="7" max="7" width="2.140625" style="0" customWidth="1"/>
    <col min="8" max="8" width="28.7109375" style="0" customWidth="1"/>
    <col min="10" max="10" width="19.57421875" style="0" customWidth="1"/>
    <col min="11" max="12" width="13.00390625" style="0" customWidth="1"/>
    <col min="13" max="13" width="16.7109375" style="0" customWidth="1"/>
    <col min="14" max="14" width="13.00390625" style="0" customWidth="1"/>
  </cols>
  <sheetData>
    <row r="1" spans="1:14" ht="20.25" customHeight="1">
      <c r="A1" s="325" t="s">
        <v>421</v>
      </c>
      <c r="B1" s="325"/>
      <c r="C1" s="325"/>
      <c r="D1" s="325"/>
      <c r="E1" s="325"/>
      <c r="F1" s="325"/>
      <c r="G1" s="325"/>
      <c r="J1" s="207"/>
      <c r="K1" s="208"/>
      <c r="L1" s="208"/>
      <c r="M1" s="208"/>
      <c r="N1" s="208"/>
    </row>
    <row r="2" spans="1:14" ht="20.25" customHeight="1">
      <c r="A2" s="105" t="s">
        <v>394</v>
      </c>
      <c r="B2" s="61" t="s">
        <v>29</v>
      </c>
      <c r="C2" s="61" t="s">
        <v>153</v>
      </c>
      <c r="D2" s="61" t="s">
        <v>30</v>
      </c>
      <c r="E2" s="61" t="s">
        <v>31</v>
      </c>
      <c r="F2" s="61" t="s">
        <v>105</v>
      </c>
      <c r="G2" s="288"/>
      <c r="H2" s="318" t="s">
        <v>167</v>
      </c>
      <c r="J2" s="209"/>
      <c r="K2" s="209"/>
      <c r="L2" s="209"/>
      <c r="M2" s="209"/>
      <c r="N2" s="210"/>
    </row>
    <row r="3" spans="1:14" ht="12" customHeight="1">
      <c r="A3" s="392"/>
      <c r="B3" s="277"/>
      <c r="C3" s="277"/>
      <c r="D3" s="277"/>
      <c r="E3" s="277"/>
      <c r="F3" s="393"/>
      <c r="G3" s="288"/>
      <c r="H3" s="318"/>
      <c r="J3" s="394"/>
      <c r="K3" s="394"/>
      <c r="L3" s="394"/>
      <c r="M3" s="394"/>
      <c r="N3" s="394"/>
    </row>
    <row r="4" spans="1:15" ht="12.75" customHeight="1">
      <c r="A4" s="21" t="s">
        <v>356</v>
      </c>
      <c r="B4" s="28" t="s">
        <v>357</v>
      </c>
      <c r="C4" s="30">
        <v>2</v>
      </c>
      <c r="D4" s="29">
        <v>4.44</v>
      </c>
      <c r="E4" s="28">
        <v>2</v>
      </c>
      <c r="F4" s="73">
        <f aca="true" t="shared" si="0" ref="F4:F18">(C4*D4)*E4</f>
        <v>17.76</v>
      </c>
      <c r="G4" s="288"/>
      <c r="H4" s="296" t="s">
        <v>168</v>
      </c>
      <c r="J4" s="212"/>
      <c r="K4" s="211"/>
      <c r="L4" s="213"/>
      <c r="M4" s="169"/>
      <c r="N4" s="169"/>
      <c r="O4" s="206"/>
    </row>
    <row r="5" spans="1:14" ht="20.25" customHeight="1">
      <c r="A5" s="21" t="s">
        <v>358</v>
      </c>
      <c r="B5" s="28" t="s">
        <v>138</v>
      </c>
      <c r="C5" s="30">
        <v>0.4</v>
      </c>
      <c r="D5" s="29">
        <v>10.5</v>
      </c>
      <c r="E5" s="28">
        <v>2</v>
      </c>
      <c r="F5" s="117">
        <f t="shared" si="0"/>
        <v>8.4</v>
      </c>
      <c r="G5" s="288"/>
      <c r="H5" s="296"/>
      <c r="J5" s="394"/>
      <c r="K5" s="394"/>
      <c r="L5" s="394"/>
      <c r="M5" s="394"/>
      <c r="N5" s="394"/>
    </row>
    <row r="6" spans="2:14" ht="15">
      <c r="B6" s="28"/>
      <c r="C6" s="30"/>
      <c r="D6" s="29"/>
      <c r="E6" s="28"/>
      <c r="F6" s="73"/>
      <c r="G6" s="288"/>
      <c r="J6" s="395"/>
      <c r="K6" s="395"/>
      <c r="L6" s="395"/>
      <c r="M6" s="395"/>
      <c r="N6" s="214"/>
    </row>
    <row r="7" spans="1:14" ht="12.75">
      <c r="A7" s="21" t="s">
        <v>359</v>
      </c>
      <c r="B7" s="28" t="s">
        <v>357</v>
      </c>
      <c r="C7" s="30">
        <v>2</v>
      </c>
      <c r="D7" s="29">
        <v>6.42</v>
      </c>
      <c r="E7" s="28">
        <v>1</v>
      </c>
      <c r="F7" s="73">
        <f t="shared" si="0"/>
        <v>12.84</v>
      </c>
      <c r="G7" s="288"/>
      <c r="J7" s="208"/>
      <c r="K7" s="208"/>
      <c r="L7" s="208"/>
      <c r="M7" s="208"/>
      <c r="N7" s="208"/>
    </row>
    <row r="8" spans="1:14" ht="12.75">
      <c r="A8" s="21" t="s">
        <v>360</v>
      </c>
      <c r="B8" s="28" t="s">
        <v>334</v>
      </c>
      <c r="C8" s="30">
        <v>1</v>
      </c>
      <c r="D8" s="29">
        <v>10.74</v>
      </c>
      <c r="E8" s="28">
        <v>1</v>
      </c>
      <c r="F8" s="73">
        <f t="shared" si="0"/>
        <v>10.74</v>
      </c>
      <c r="G8" s="288"/>
      <c r="J8" s="208"/>
      <c r="K8" s="208"/>
      <c r="L8" s="208"/>
      <c r="M8" s="208"/>
      <c r="N8" s="208"/>
    </row>
    <row r="9" spans="2:7" ht="12.75">
      <c r="B9" s="28"/>
      <c r="C9" s="30"/>
      <c r="D9" s="29"/>
      <c r="E9" s="28"/>
      <c r="F9" s="73"/>
      <c r="G9" s="288"/>
    </row>
    <row r="10" spans="1:7" ht="12.75">
      <c r="A10" s="21" t="s">
        <v>361</v>
      </c>
      <c r="B10" s="28" t="s">
        <v>330</v>
      </c>
      <c r="C10" s="30">
        <v>2</v>
      </c>
      <c r="D10" s="29">
        <v>5.23</v>
      </c>
      <c r="E10" s="28">
        <v>1</v>
      </c>
      <c r="F10" s="73">
        <f t="shared" si="0"/>
        <v>10.46</v>
      </c>
      <c r="G10" s="288"/>
    </row>
    <row r="11" spans="1:7" ht="12.75">
      <c r="A11" s="21" t="s">
        <v>362</v>
      </c>
      <c r="B11" s="28" t="s">
        <v>330</v>
      </c>
      <c r="C11" s="30">
        <v>16</v>
      </c>
      <c r="D11" s="29">
        <v>0.8</v>
      </c>
      <c r="E11" s="28">
        <v>1</v>
      </c>
      <c r="F11" s="73">
        <f t="shared" si="0"/>
        <v>12.8</v>
      </c>
      <c r="G11" s="288"/>
    </row>
    <row r="12" spans="1:7" ht="12.75">
      <c r="A12" s="21" t="s">
        <v>363</v>
      </c>
      <c r="B12" s="28" t="s">
        <v>142</v>
      </c>
      <c r="C12" s="30">
        <v>0.5</v>
      </c>
      <c r="D12" s="29">
        <v>20</v>
      </c>
      <c r="E12" s="28">
        <v>1</v>
      </c>
      <c r="F12" s="73">
        <f t="shared" si="0"/>
        <v>10</v>
      </c>
      <c r="G12" s="288"/>
    </row>
    <row r="13" spans="1:7" ht="12.75">
      <c r="A13" s="21" t="s">
        <v>364</v>
      </c>
      <c r="B13" s="28" t="s">
        <v>138</v>
      </c>
      <c r="C13" s="30">
        <v>0.4</v>
      </c>
      <c r="D13" s="29">
        <v>10.5</v>
      </c>
      <c r="E13" s="28">
        <v>1</v>
      </c>
      <c r="F13" s="73">
        <f t="shared" si="0"/>
        <v>4.2</v>
      </c>
      <c r="G13" s="288"/>
    </row>
    <row r="14" spans="2:7" ht="12.75">
      <c r="B14" s="28"/>
      <c r="C14" s="30"/>
      <c r="D14" s="29"/>
      <c r="E14" s="28"/>
      <c r="F14" s="73"/>
      <c r="G14" s="288"/>
    </row>
    <row r="15" spans="1:7" ht="12.75">
      <c r="A15" s="21" t="s">
        <v>361</v>
      </c>
      <c r="B15" s="28" t="s">
        <v>330</v>
      </c>
      <c r="C15" s="30">
        <v>2</v>
      </c>
      <c r="D15" s="29">
        <v>5.23</v>
      </c>
      <c r="E15" s="28">
        <v>1</v>
      </c>
      <c r="F15" s="73">
        <f t="shared" si="0"/>
        <v>10.46</v>
      </c>
      <c r="G15" s="288"/>
    </row>
    <row r="16" spans="1:7" ht="12.75">
      <c r="A16" s="21" t="s">
        <v>364</v>
      </c>
      <c r="B16" s="28" t="s">
        <v>138</v>
      </c>
      <c r="C16" s="30">
        <v>0.4</v>
      </c>
      <c r="D16" s="29">
        <v>10.5</v>
      </c>
      <c r="E16" s="28">
        <v>1</v>
      </c>
      <c r="F16" s="73">
        <f t="shared" si="0"/>
        <v>4.2</v>
      </c>
      <c r="G16" s="288"/>
    </row>
    <row r="17" spans="1:7" ht="12.75">
      <c r="A17" s="221"/>
      <c r="B17" s="28"/>
      <c r="C17" s="30"/>
      <c r="D17" s="29"/>
      <c r="E17" s="28"/>
      <c r="F17" s="73"/>
      <c r="G17" s="288"/>
    </row>
    <row r="18" spans="1:7" ht="12.75">
      <c r="A18" s="21" t="s">
        <v>146</v>
      </c>
      <c r="B18" s="28" t="s">
        <v>138</v>
      </c>
      <c r="C18" s="30">
        <v>0.5</v>
      </c>
      <c r="D18" s="29">
        <v>24.58</v>
      </c>
      <c r="E18" s="28"/>
      <c r="F18" s="73">
        <f t="shared" si="0"/>
        <v>0</v>
      </c>
      <c r="G18" s="288"/>
    </row>
    <row r="19" spans="1:7" ht="12.75">
      <c r="A19" s="21"/>
      <c r="B19" s="28"/>
      <c r="C19" s="30"/>
      <c r="D19" s="29"/>
      <c r="E19" s="28"/>
      <c r="F19" s="73"/>
      <c r="G19" s="288"/>
    </row>
    <row r="20" spans="1:7" ht="11.25" customHeight="1">
      <c r="A20" s="277"/>
      <c r="B20" s="277"/>
      <c r="C20" s="277"/>
      <c r="D20" s="277"/>
      <c r="E20" s="277"/>
      <c r="F20" s="277"/>
      <c r="G20" s="288"/>
    </row>
    <row r="21" spans="1:7" ht="18" customHeight="1">
      <c r="A21" s="389" t="s">
        <v>16</v>
      </c>
      <c r="B21" s="390"/>
      <c r="C21" s="390"/>
      <c r="D21" s="390"/>
      <c r="E21" s="391"/>
      <c r="F21" s="74">
        <f>SUM(F3:F19)</f>
        <v>101.86</v>
      </c>
      <c r="G21" s="288"/>
    </row>
    <row r="22" spans="1:7" ht="11.25" customHeight="1">
      <c r="A22" s="290"/>
      <c r="B22" s="290"/>
      <c r="C22" s="290"/>
      <c r="D22" s="290"/>
      <c r="E22" s="290"/>
      <c r="F22" s="290"/>
      <c r="G22" s="289"/>
    </row>
    <row r="25" ht="12.75">
      <c r="A25" s="171"/>
    </row>
  </sheetData>
  <sheetProtection sheet="1"/>
  <mergeCells count="11">
    <mergeCell ref="A1:G1"/>
    <mergeCell ref="J3:N3"/>
    <mergeCell ref="J5:N5"/>
    <mergeCell ref="J6:M6"/>
    <mergeCell ref="A22:F22"/>
    <mergeCell ref="G2:G22"/>
    <mergeCell ref="A20:F20"/>
    <mergeCell ref="H2:H3"/>
    <mergeCell ref="H4:H5"/>
    <mergeCell ref="A21:E21"/>
    <mergeCell ref="A3:F3"/>
  </mergeCells>
  <printOptions gridLines="1"/>
  <pageMargins left="0.75" right="0.75" top="1" bottom="1" header="0.5" footer="0.5"/>
  <pageSetup blackAndWhite="1" fitToHeight="1" fitToWidth="1" horizontalDpi="300" verticalDpi="300" orientation="portrait" scale="90" r:id="rId1"/>
</worksheet>
</file>

<file path=xl/worksheets/sheet19.xml><?xml version="1.0" encoding="utf-8"?>
<worksheet xmlns="http://schemas.openxmlformats.org/spreadsheetml/2006/main" xmlns:r="http://schemas.openxmlformats.org/officeDocument/2006/relationships">
  <sheetPr>
    <tabColor rgb="FF002060"/>
    <pageSetUpPr fitToPage="1"/>
  </sheetPr>
  <dimension ref="A1:N27"/>
  <sheetViews>
    <sheetView zoomScalePageLayoutView="0" workbookViewId="0" topLeftCell="A1">
      <pane ySplit="3" topLeftCell="A4" activePane="bottomLeft" state="frozen"/>
      <selection pane="topLeft" activeCell="I39" sqref="I39"/>
      <selection pane="bottomLeft" activeCell="H22" sqref="H22"/>
    </sheetView>
  </sheetViews>
  <sheetFormatPr defaultColWidth="9.140625" defaultRowHeight="12.75"/>
  <cols>
    <col min="1" max="1" width="27.7109375" style="0" customWidth="1"/>
    <col min="2" max="2" width="8.421875" style="0" customWidth="1"/>
    <col min="3" max="3" width="15.57421875" style="0" customWidth="1"/>
    <col min="4" max="4" width="14.140625" style="0" customWidth="1"/>
    <col min="5" max="5" width="12.57421875" style="0" customWidth="1"/>
    <col min="6" max="6" width="17.28125" style="0" customWidth="1"/>
    <col min="7" max="7" width="2.140625" style="0" customWidth="1"/>
    <col min="8" max="8" width="22.421875" style="0" customWidth="1"/>
    <col min="10" max="10" width="16.7109375" style="0" customWidth="1"/>
    <col min="11" max="14" width="13.421875" style="0" customWidth="1"/>
  </cols>
  <sheetData>
    <row r="1" spans="1:14" ht="15.75">
      <c r="A1" s="325" t="s">
        <v>422</v>
      </c>
      <c r="B1" s="325"/>
      <c r="C1" s="325"/>
      <c r="D1" s="325"/>
      <c r="E1" s="325"/>
      <c r="F1" s="325"/>
      <c r="G1" s="325"/>
      <c r="J1" s="207"/>
      <c r="K1" s="208"/>
      <c r="L1" s="208"/>
      <c r="M1" s="208"/>
      <c r="N1" s="208"/>
    </row>
    <row r="2" spans="1:14" ht="23.25" customHeight="1">
      <c r="A2" s="106" t="s">
        <v>394</v>
      </c>
      <c r="B2" s="92" t="s">
        <v>29</v>
      </c>
      <c r="C2" s="92" t="s">
        <v>152</v>
      </c>
      <c r="D2" s="92" t="s">
        <v>39</v>
      </c>
      <c r="E2" s="92" t="s">
        <v>31</v>
      </c>
      <c r="F2" s="88" t="s">
        <v>105</v>
      </c>
      <c r="G2" s="398"/>
      <c r="H2" s="318" t="s">
        <v>167</v>
      </c>
      <c r="J2" s="209"/>
      <c r="K2" s="209"/>
      <c r="L2" s="209"/>
      <c r="M2" s="209"/>
      <c r="N2" s="210"/>
    </row>
    <row r="3" spans="1:14" ht="10.5" customHeight="1">
      <c r="A3" s="396"/>
      <c r="B3" s="397"/>
      <c r="C3" s="397"/>
      <c r="D3" s="397"/>
      <c r="E3" s="397"/>
      <c r="F3" s="397"/>
      <c r="G3" s="398"/>
      <c r="H3" s="318"/>
      <c r="J3" s="394"/>
      <c r="K3" s="394"/>
      <c r="L3" s="394"/>
      <c r="M3" s="394"/>
      <c r="N3" s="394"/>
    </row>
    <row r="4" spans="1:14" ht="12.75" customHeight="1">
      <c r="A4" s="21" t="s">
        <v>343</v>
      </c>
      <c r="B4" s="28" t="s">
        <v>330</v>
      </c>
      <c r="C4" s="32">
        <v>0.35</v>
      </c>
      <c r="D4" s="29">
        <v>39.67</v>
      </c>
      <c r="E4" s="28">
        <v>3</v>
      </c>
      <c r="F4" s="73">
        <f aca="true" t="shared" si="0" ref="F4:F16">(C4*D4)*E4</f>
        <v>41.653499999999994</v>
      </c>
      <c r="G4" s="398"/>
      <c r="H4" s="296" t="s">
        <v>168</v>
      </c>
      <c r="J4" s="212"/>
      <c r="K4" s="211"/>
      <c r="L4" s="213"/>
      <c r="M4" s="169"/>
      <c r="N4" s="169"/>
    </row>
    <row r="5" spans="1:14" ht="12.75" customHeight="1">
      <c r="A5" s="21" t="s">
        <v>344</v>
      </c>
      <c r="B5" s="28" t="s">
        <v>142</v>
      </c>
      <c r="C5" s="32">
        <v>1.5</v>
      </c>
      <c r="D5" s="29">
        <v>6.21</v>
      </c>
      <c r="E5" s="28">
        <v>10</v>
      </c>
      <c r="F5" s="73">
        <f t="shared" si="0"/>
        <v>93.14999999999999</v>
      </c>
      <c r="G5" s="398"/>
      <c r="H5" s="296"/>
      <c r="J5" s="212"/>
      <c r="K5" s="211"/>
      <c r="L5" s="213"/>
      <c r="M5" s="169"/>
      <c r="N5" s="169"/>
    </row>
    <row r="6" spans="1:14" ht="12.75">
      <c r="A6" s="21" t="s">
        <v>345</v>
      </c>
      <c r="B6" s="28" t="s">
        <v>142</v>
      </c>
      <c r="C6" s="32">
        <v>1</v>
      </c>
      <c r="D6" s="29">
        <v>4.25</v>
      </c>
      <c r="E6" s="28">
        <v>20</v>
      </c>
      <c r="F6" s="73">
        <f t="shared" si="0"/>
        <v>85</v>
      </c>
      <c r="G6" s="398"/>
      <c r="H6" s="296"/>
      <c r="J6" s="212"/>
      <c r="K6" s="222"/>
      <c r="L6" s="223"/>
      <c r="M6" s="223"/>
      <c r="N6" s="169"/>
    </row>
    <row r="7" spans="1:14" ht="12.75">
      <c r="A7" s="21" t="s">
        <v>346</v>
      </c>
      <c r="B7" s="28" t="s">
        <v>334</v>
      </c>
      <c r="C7" s="32">
        <v>1.5</v>
      </c>
      <c r="D7" s="29">
        <v>6.22</v>
      </c>
      <c r="E7" s="28">
        <v>10</v>
      </c>
      <c r="F7" s="73">
        <f t="shared" si="0"/>
        <v>93.3</v>
      </c>
      <c r="G7" s="398"/>
      <c r="J7" s="212"/>
      <c r="K7" s="211"/>
      <c r="L7" s="213"/>
      <c r="M7" s="169"/>
      <c r="N7" s="169"/>
    </row>
    <row r="8" spans="1:14" ht="15">
      <c r="A8" s="21" t="s">
        <v>347</v>
      </c>
      <c r="B8" s="28" t="s">
        <v>330</v>
      </c>
      <c r="C8" s="19">
        <v>24</v>
      </c>
      <c r="D8" s="29">
        <v>1.83</v>
      </c>
      <c r="E8" s="28">
        <v>2</v>
      </c>
      <c r="F8" s="73">
        <f t="shared" si="0"/>
        <v>87.84</v>
      </c>
      <c r="G8" s="398"/>
      <c r="J8" s="395"/>
      <c r="K8" s="395"/>
      <c r="L8" s="395"/>
      <c r="M8" s="395"/>
      <c r="N8" s="214"/>
    </row>
    <row r="9" spans="1:14" ht="12.75">
      <c r="A9" s="21" t="s">
        <v>348</v>
      </c>
      <c r="B9" s="28" t="s">
        <v>330</v>
      </c>
      <c r="C9" s="19">
        <v>8</v>
      </c>
      <c r="D9" s="29">
        <v>4.64</v>
      </c>
      <c r="E9" s="28">
        <v>2</v>
      </c>
      <c r="F9" s="73">
        <f t="shared" si="0"/>
        <v>74.24</v>
      </c>
      <c r="G9" s="398"/>
      <c r="J9" s="208"/>
      <c r="K9" s="208"/>
      <c r="L9" s="208"/>
      <c r="M9" s="208"/>
      <c r="N9" s="208"/>
    </row>
    <row r="10" spans="1:14" ht="12.75">
      <c r="A10" s="21" t="s">
        <v>349</v>
      </c>
      <c r="B10" s="28" t="s">
        <v>330</v>
      </c>
      <c r="C10" s="19">
        <v>20</v>
      </c>
      <c r="D10" s="29">
        <v>1.95</v>
      </c>
      <c r="E10" s="28">
        <v>2</v>
      </c>
      <c r="F10" s="73">
        <f t="shared" si="0"/>
        <v>78</v>
      </c>
      <c r="G10" s="398"/>
      <c r="J10" s="208"/>
      <c r="K10" s="208"/>
      <c r="L10" s="208"/>
      <c r="M10" s="208"/>
      <c r="N10" s="208"/>
    </row>
    <row r="11" spans="1:14" ht="12.75">
      <c r="A11" s="21" t="s">
        <v>350</v>
      </c>
      <c r="B11" s="28" t="s">
        <v>330</v>
      </c>
      <c r="C11" s="19">
        <v>8</v>
      </c>
      <c r="D11" s="29">
        <v>2.8</v>
      </c>
      <c r="E11" s="28">
        <v>4</v>
      </c>
      <c r="F11" s="73">
        <f t="shared" si="0"/>
        <v>89.6</v>
      </c>
      <c r="G11" s="398"/>
      <c r="J11" s="208"/>
      <c r="K11" s="208"/>
      <c r="L11" s="208"/>
      <c r="M11" s="208"/>
      <c r="N11" s="208"/>
    </row>
    <row r="12" spans="1:7" ht="12.75">
      <c r="A12" s="21" t="s">
        <v>351</v>
      </c>
      <c r="B12" s="28" t="s">
        <v>330</v>
      </c>
      <c r="C12" s="19">
        <v>7</v>
      </c>
      <c r="D12" s="29">
        <v>1.89</v>
      </c>
      <c r="E12" s="28">
        <v>2</v>
      </c>
      <c r="F12" s="73">
        <f t="shared" si="0"/>
        <v>26.459999999999997</v>
      </c>
      <c r="G12" s="398"/>
    </row>
    <row r="13" spans="1:7" ht="12.75">
      <c r="A13" s="21" t="s">
        <v>352</v>
      </c>
      <c r="B13" s="28" t="s">
        <v>330</v>
      </c>
      <c r="C13" s="19">
        <v>5</v>
      </c>
      <c r="D13" s="29">
        <v>3.13</v>
      </c>
      <c r="E13" s="28">
        <v>2</v>
      </c>
      <c r="F13" s="73">
        <f t="shared" si="0"/>
        <v>31.299999999999997</v>
      </c>
      <c r="G13" s="398"/>
    </row>
    <row r="14" spans="1:8" ht="12.75">
      <c r="A14" s="21" t="s">
        <v>353</v>
      </c>
      <c r="B14" s="28" t="s">
        <v>334</v>
      </c>
      <c r="C14" s="19">
        <v>1.5</v>
      </c>
      <c r="D14" s="29">
        <v>11.27</v>
      </c>
      <c r="E14" s="28">
        <v>2</v>
      </c>
      <c r="F14" s="73">
        <f t="shared" si="0"/>
        <v>33.81</v>
      </c>
      <c r="G14" s="398"/>
      <c r="H14" s="171"/>
    </row>
    <row r="15" spans="1:7" ht="12.75">
      <c r="A15" s="21" t="s">
        <v>354</v>
      </c>
      <c r="B15" s="28" t="s">
        <v>330</v>
      </c>
      <c r="C15" s="19">
        <v>4</v>
      </c>
      <c r="D15" s="29">
        <v>8.65</v>
      </c>
      <c r="E15" s="28">
        <v>2</v>
      </c>
      <c r="F15" s="73">
        <f t="shared" si="0"/>
        <v>69.2</v>
      </c>
      <c r="G15" s="398"/>
    </row>
    <row r="16" spans="1:7" ht="12.75">
      <c r="A16" s="21" t="s">
        <v>355</v>
      </c>
      <c r="B16" s="28" t="s">
        <v>330</v>
      </c>
      <c r="C16" s="19">
        <v>8</v>
      </c>
      <c r="D16" s="29">
        <v>2.53</v>
      </c>
      <c r="E16" s="28">
        <v>2</v>
      </c>
      <c r="F16" s="73">
        <f t="shared" si="0"/>
        <v>40.48</v>
      </c>
      <c r="G16" s="398"/>
    </row>
    <row r="17" spans="1:7" ht="12.75">
      <c r="A17" s="21" t="s">
        <v>149</v>
      </c>
      <c r="B17" s="28" t="s">
        <v>138</v>
      </c>
      <c r="C17" s="19">
        <v>0.8</v>
      </c>
      <c r="D17" s="29">
        <v>44</v>
      </c>
      <c r="E17" s="28"/>
      <c r="F17" s="73"/>
      <c r="G17" s="398"/>
    </row>
    <row r="18" spans="1:7" ht="12.75">
      <c r="A18" s="21" t="s">
        <v>148</v>
      </c>
      <c r="B18" s="28" t="s">
        <v>142</v>
      </c>
      <c r="C18" s="19">
        <v>40</v>
      </c>
      <c r="D18" s="29">
        <v>3.5</v>
      </c>
      <c r="E18" s="28"/>
      <c r="F18" s="73"/>
      <c r="G18" s="398"/>
    </row>
    <row r="19" spans="1:7" ht="12.75">
      <c r="A19" s="21" t="s">
        <v>163</v>
      </c>
      <c r="B19" s="28" t="s">
        <v>138</v>
      </c>
      <c r="C19" s="31">
        <v>3.6</v>
      </c>
      <c r="D19" s="29">
        <v>6.58</v>
      </c>
      <c r="E19" s="28"/>
      <c r="F19" s="73"/>
      <c r="G19" s="398"/>
    </row>
    <row r="20" spans="1:7" ht="12.75">
      <c r="A20" s="21" t="s">
        <v>147</v>
      </c>
      <c r="B20" s="28" t="s">
        <v>142</v>
      </c>
      <c r="C20" s="31">
        <v>2</v>
      </c>
      <c r="D20" s="29">
        <v>686.31</v>
      </c>
      <c r="E20" s="28"/>
      <c r="F20" s="73"/>
      <c r="G20" s="398"/>
    </row>
    <row r="21" spans="1:7" ht="12.75">
      <c r="A21" s="21"/>
      <c r="B21" s="28"/>
      <c r="C21" s="20"/>
      <c r="D21" s="29"/>
      <c r="E21" s="28"/>
      <c r="F21" s="73"/>
      <c r="G21" s="398"/>
    </row>
    <row r="22" spans="1:7" ht="12.75">
      <c r="A22" s="21"/>
      <c r="B22" s="28"/>
      <c r="C22" s="20"/>
      <c r="D22" s="29"/>
      <c r="E22" s="28"/>
      <c r="F22" s="73"/>
      <c r="G22" s="398"/>
    </row>
    <row r="23" spans="1:7" ht="11.25" customHeight="1">
      <c r="A23" s="277"/>
      <c r="B23" s="277"/>
      <c r="C23" s="277"/>
      <c r="D23" s="277"/>
      <c r="E23" s="277"/>
      <c r="F23" s="277"/>
      <c r="G23" s="398"/>
    </row>
    <row r="24" spans="1:7" ht="21" customHeight="1">
      <c r="A24" s="400" t="s">
        <v>16</v>
      </c>
      <c r="B24" s="401"/>
      <c r="C24" s="401"/>
      <c r="D24" s="401"/>
      <c r="E24" s="402"/>
      <c r="F24" s="74">
        <f>SUM(F4:F22)</f>
        <v>844.0335</v>
      </c>
      <c r="G24" s="398"/>
    </row>
    <row r="25" spans="1:7" ht="11.25" customHeight="1">
      <c r="A25" s="290"/>
      <c r="B25" s="290"/>
      <c r="C25" s="290"/>
      <c r="D25" s="290"/>
      <c r="E25" s="290"/>
      <c r="F25" s="290"/>
      <c r="G25" s="399"/>
    </row>
    <row r="27" ht="12.75">
      <c r="A27" s="171"/>
    </row>
  </sheetData>
  <sheetProtection sheet="1"/>
  <mergeCells count="10">
    <mergeCell ref="A25:F25"/>
    <mergeCell ref="A3:F3"/>
    <mergeCell ref="A23:F23"/>
    <mergeCell ref="G2:G25"/>
    <mergeCell ref="A1:G1"/>
    <mergeCell ref="J3:N3"/>
    <mergeCell ref="J8:M8"/>
    <mergeCell ref="H2:H3"/>
    <mergeCell ref="H4:H6"/>
    <mergeCell ref="A24:E24"/>
  </mergeCells>
  <printOptions gridLines="1"/>
  <pageMargins left="0.75" right="0.75" top="1" bottom="1" header="0.5" footer="0.5"/>
  <pageSetup blackAndWhite="1" fitToHeight="1" fitToWidth="1" horizontalDpi="300" verticalDpi="300" orientation="portrait" scale="90" r:id="rId1"/>
</worksheet>
</file>

<file path=xl/worksheets/sheet2.xml><?xml version="1.0" encoding="utf-8"?>
<worksheet xmlns="http://schemas.openxmlformats.org/spreadsheetml/2006/main" xmlns:r="http://schemas.openxmlformats.org/officeDocument/2006/relationships">
  <dimension ref="A1:Z55"/>
  <sheetViews>
    <sheetView zoomScale="90" zoomScaleNormal="90" zoomScalePageLayoutView="0" workbookViewId="0" topLeftCell="A1">
      <pane ySplit="7" topLeftCell="A47" activePane="bottomLeft" state="frozen"/>
      <selection pane="topLeft" activeCell="I39" sqref="I39"/>
      <selection pane="bottomLeft" activeCell="E47" sqref="E47"/>
    </sheetView>
  </sheetViews>
  <sheetFormatPr defaultColWidth="9.140625" defaultRowHeight="12.75"/>
  <cols>
    <col min="1" max="1" width="2.421875" style="0" customWidth="1"/>
    <col min="2" max="2" width="32.421875" style="0" customWidth="1"/>
    <col min="3" max="3" width="7.7109375" style="0" customWidth="1"/>
    <col min="4" max="4" width="14.28125" style="0" customWidth="1"/>
    <col min="5" max="5" width="15.57421875" style="0" customWidth="1"/>
    <col min="6" max="6" width="15.28125" style="0" customWidth="1"/>
    <col min="7" max="7" width="14.57421875" style="0" customWidth="1"/>
    <col min="8" max="8" width="16.00390625" style="0" customWidth="1"/>
    <col min="9" max="9" width="17.00390625" style="0" customWidth="1"/>
    <col min="10" max="10" width="15.421875" style="0" customWidth="1"/>
    <col min="11" max="11" width="2.421875" style="0" customWidth="1"/>
    <col min="12" max="12" width="36.28125" style="0" customWidth="1"/>
  </cols>
  <sheetData>
    <row r="1" spans="1:11" ht="12.75">
      <c r="A1" s="158"/>
      <c r="B1" s="158"/>
      <c r="C1" s="158"/>
      <c r="D1" s="158"/>
      <c r="E1" s="158"/>
      <c r="F1" s="158"/>
      <c r="G1" s="158"/>
      <c r="H1" s="158"/>
      <c r="I1" s="158"/>
      <c r="J1" s="158"/>
      <c r="K1" s="158"/>
    </row>
    <row r="2" spans="1:11" ht="14.25" customHeight="1">
      <c r="A2" s="159"/>
      <c r="B2" s="237" t="s">
        <v>389</v>
      </c>
      <c r="C2" s="237"/>
      <c r="D2" s="237"/>
      <c r="E2" s="237"/>
      <c r="F2" s="237"/>
      <c r="G2" s="237"/>
      <c r="H2" s="237"/>
      <c r="I2" s="237"/>
      <c r="J2" s="237"/>
      <c r="K2" s="159"/>
    </row>
    <row r="3" spans="1:11" ht="12.75" customHeight="1">
      <c r="A3" s="158"/>
      <c r="B3" s="237"/>
      <c r="C3" s="237"/>
      <c r="D3" s="237"/>
      <c r="E3" s="237"/>
      <c r="F3" s="237"/>
      <c r="G3" s="237"/>
      <c r="H3" s="237"/>
      <c r="I3" s="237"/>
      <c r="J3" s="237"/>
      <c r="K3" s="158"/>
    </row>
    <row r="4" spans="1:11" ht="51" customHeight="1">
      <c r="A4" s="158"/>
      <c r="B4" s="237" t="s">
        <v>396</v>
      </c>
      <c r="C4" s="155"/>
      <c r="D4" s="248" t="s">
        <v>397</v>
      </c>
      <c r="E4" s="249"/>
      <c r="F4" s="252" t="s">
        <v>411</v>
      </c>
      <c r="G4" s="253"/>
      <c r="H4" s="254"/>
      <c r="I4" s="248" t="s">
        <v>128</v>
      </c>
      <c r="J4" s="249"/>
      <c r="K4" s="158"/>
    </row>
    <row r="5" spans="1:11" ht="45.75" customHeight="1">
      <c r="A5" s="160"/>
      <c r="B5" s="237"/>
      <c r="C5" s="155"/>
      <c r="D5" s="226">
        <v>1100</v>
      </c>
      <c r="E5" s="162" t="s">
        <v>378</v>
      </c>
      <c r="F5" s="255"/>
      <c r="G5" s="256"/>
      <c r="H5" s="257"/>
      <c r="I5" s="227">
        <v>1100</v>
      </c>
      <c r="J5" s="162" t="str">
        <f>'Your Budget'!$B$4</f>
        <v>cartons</v>
      </c>
      <c r="K5" s="160"/>
    </row>
    <row r="6" spans="1:11" ht="45.75" customHeight="1">
      <c r="A6" s="161"/>
      <c r="B6" s="155"/>
      <c r="C6" s="155" t="s">
        <v>0</v>
      </c>
      <c r="D6" s="156" t="s">
        <v>1</v>
      </c>
      <c r="E6" s="156" t="s">
        <v>30</v>
      </c>
      <c r="F6" s="156" t="s">
        <v>395</v>
      </c>
      <c r="G6" s="156" t="s">
        <v>398</v>
      </c>
      <c r="H6" s="156" t="s">
        <v>324</v>
      </c>
      <c r="I6" s="156" t="s">
        <v>165</v>
      </c>
      <c r="J6" s="156" t="s">
        <v>25</v>
      </c>
      <c r="K6" s="161"/>
    </row>
    <row r="7" spans="1:13" ht="13.5" customHeight="1">
      <c r="A7" s="161"/>
      <c r="B7" s="258"/>
      <c r="C7" s="258"/>
      <c r="D7" s="258"/>
      <c r="E7" s="258"/>
      <c r="F7" s="258"/>
      <c r="G7" s="258"/>
      <c r="H7" s="258"/>
      <c r="I7" s="258"/>
      <c r="J7" s="258"/>
      <c r="K7" s="161"/>
      <c r="M7" s="157"/>
    </row>
    <row r="8" spans="1:14" ht="18.75" customHeight="1">
      <c r="A8" s="235"/>
      <c r="B8" s="232" t="s">
        <v>21</v>
      </c>
      <c r="C8" s="233"/>
      <c r="D8" s="233"/>
      <c r="E8" s="233"/>
      <c r="F8" s="233"/>
      <c r="G8" s="233"/>
      <c r="H8" s="233"/>
      <c r="I8" s="233"/>
      <c r="J8" s="234"/>
      <c r="K8" s="235"/>
      <c r="L8" s="195"/>
      <c r="M8" s="195"/>
      <c r="N8" s="195"/>
    </row>
    <row r="9" spans="1:11" ht="12.75">
      <c r="A9" s="235"/>
      <c r="B9" s="9" t="s">
        <v>299</v>
      </c>
      <c r="C9" s="38" t="s">
        <v>4</v>
      </c>
      <c r="D9" s="13">
        <v>1</v>
      </c>
      <c r="E9" s="197">
        <f>'Your Budget'!E6</f>
        <v>2465</v>
      </c>
      <c r="F9" s="197">
        <f aca="true" t="shared" si="0" ref="F9:F29">D9*E9</f>
        <v>2465</v>
      </c>
      <c r="G9" s="197">
        <f>F9/$D$5</f>
        <v>2.2409090909090907</v>
      </c>
      <c r="H9" s="64"/>
      <c r="I9" s="6">
        <f>J9/$I$5</f>
        <v>2.2409090909090907</v>
      </c>
      <c r="J9" s="77">
        <f>('Your Budget'!E6)</f>
        <v>2465</v>
      </c>
      <c r="K9" s="235"/>
    </row>
    <row r="10" spans="1:11" ht="12.75">
      <c r="A10" s="235"/>
      <c r="B10" s="9" t="s">
        <v>391</v>
      </c>
      <c r="C10" s="12" t="s">
        <v>4</v>
      </c>
      <c r="D10" s="13">
        <v>1</v>
      </c>
      <c r="E10" s="197">
        <f>'Your Budget'!E7</f>
        <v>1293</v>
      </c>
      <c r="F10" s="197">
        <f t="shared" si="0"/>
        <v>1293</v>
      </c>
      <c r="G10" s="197">
        <f aca="true" t="shared" si="1" ref="G10:G31">F10/$D$5</f>
        <v>1.1754545454545455</v>
      </c>
      <c r="H10" s="6"/>
      <c r="I10" s="6">
        <f aca="true" t="shared" si="2" ref="I10:I16">J10/$I$5</f>
        <v>1.1754545454545455</v>
      </c>
      <c r="J10" s="6">
        <f>('Your Budget'!E7)</f>
        <v>1293</v>
      </c>
      <c r="K10" s="235"/>
    </row>
    <row r="11" spans="1:11" ht="12.75">
      <c r="A11" s="235"/>
      <c r="B11" s="9" t="s">
        <v>388</v>
      </c>
      <c r="C11" s="12" t="s">
        <v>4</v>
      </c>
      <c r="D11" s="13">
        <v>1</v>
      </c>
      <c r="E11" s="197">
        <f>'Your Fumigants'!F21</f>
        <v>2275</v>
      </c>
      <c r="F11" s="197">
        <f t="shared" si="0"/>
        <v>2275</v>
      </c>
      <c r="G11" s="197">
        <f t="shared" si="1"/>
        <v>2.0681818181818183</v>
      </c>
      <c r="H11" s="6"/>
      <c r="I11" s="6">
        <f t="shared" si="2"/>
        <v>0.5073709090909091</v>
      </c>
      <c r="J11" s="6">
        <f>'Your Budget'!E8</f>
        <v>558.1080000000001</v>
      </c>
      <c r="K11" s="235"/>
    </row>
    <row r="12" spans="1:11" ht="12.75">
      <c r="A12" s="235"/>
      <c r="B12" s="9" t="s">
        <v>11</v>
      </c>
      <c r="C12" s="12" t="s">
        <v>4</v>
      </c>
      <c r="D12" s="13">
        <v>1</v>
      </c>
      <c r="E12" s="198"/>
      <c r="F12" s="197">
        <f t="shared" si="0"/>
        <v>0</v>
      </c>
      <c r="G12" s="197">
        <f t="shared" si="1"/>
        <v>0</v>
      </c>
      <c r="H12" s="6"/>
      <c r="I12" s="6">
        <f t="shared" si="2"/>
        <v>0</v>
      </c>
      <c r="J12" s="6">
        <f>('Your Budget'!E9)</f>
        <v>0</v>
      </c>
      <c r="K12" s="235"/>
    </row>
    <row r="13" spans="1:11" ht="12.75">
      <c r="A13" s="235"/>
      <c r="B13" s="9" t="s">
        <v>12</v>
      </c>
      <c r="C13" s="12" t="s">
        <v>4</v>
      </c>
      <c r="D13" s="13">
        <v>1</v>
      </c>
      <c r="E13" s="198"/>
      <c r="F13" s="197">
        <f t="shared" si="0"/>
        <v>0</v>
      </c>
      <c r="G13" s="197">
        <f t="shared" si="1"/>
        <v>0</v>
      </c>
      <c r="H13" s="6"/>
      <c r="I13" s="6">
        <f t="shared" si="2"/>
        <v>0</v>
      </c>
      <c r="J13" s="6">
        <f>('Your Budget'!E10)</f>
        <v>0</v>
      </c>
      <c r="K13" s="235"/>
    </row>
    <row r="14" spans="1:11" ht="12.75">
      <c r="A14" s="235"/>
      <c r="B14" s="9" t="s">
        <v>3</v>
      </c>
      <c r="C14" s="12" t="s">
        <v>4</v>
      </c>
      <c r="D14" s="13">
        <v>1</v>
      </c>
      <c r="E14" s="197">
        <f>'Your Budget'!E11</f>
        <v>101.86</v>
      </c>
      <c r="F14" s="197">
        <f t="shared" si="0"/>
        <v>101.86</v>
      </c>
      <c r="G14" s="197">
        <f t="shared" si="1"/>
        <v>0.0926</v>
      </c>
      <c r="H14" s="6"/>
      <c r="I14" s="6">
        <f t="shared" si="2"/>
        <v>0.0926</v>
      </c>
      <c r="J14" s="6">
        <f>'Your Budget'!E11</f>
        <v>101.86</v>
      </c>
      <c r="K14" s="235"/>
    </row>
    <row r="15" spans="1:11" ht="12.75">
      <c r="A15" s="235"/>
      <c r="B15" s="9" t="s">
        <v>5</v>
      </c>
      <c r="C15" s="12" t="s">
        <v>4</v>
      </c>
      <c r="D15" s="13">
        <v>1</v>
      </c>
      <c r="E15" s="197">
        <f>'Your Budget'!E12</f>
        <v>715.115</v>
      </c>
      <c r="F15" s="197">
        <f t="shared" si="0"/>
        <v>715.115</v>
      </c>
      <c r="G15" s="197">
        <f t="shared" si="1"/>
        <v>0.6501045454545454</v>
      </c>
      <c r="H15" s="6"/>
      <c r="I15" s="6">
        <f t="shared" si="2"/>
        <v>0.6501045454545454</v>
      </c>
      <c r="J15" s="6">
        <f>'Your Budget'!E12</f>
        <v>715.115</v>
      </c>
      <c r="K15" s="235"/>
    </row>
    <row r="16" spans="1:11" ht="12.75">
      <c r="A16" s="235"/>
      <c r="B16" s="9" t="s">
        <v>6</v>
      </c>
      <c r="C16" s="12" t="s">
        <v>4</v>
      </c>
      <c r="D16" s="13">
        <v>1</v>
      </c>
      <c r="E16" s="197">
        <f>'Your Budget'!E13</f>
        <v>844.0335</v>
      </c>
      <c r="F16" s="197">
        <f>E16*D16</f>
        <v>844.0335</v>
      </c>
      <c r="G16" s="197">
        <f t="shared" si="1"/>
        <v>0.7673031818181818</v>
      </c>
      <c r="H16" s="6"/>
      <c r="I16" s="6">
        <f t="shared" si="2"/>
        <v>0.7673031818181818</v>
      </c>
      <c r="J16" s="6">
        <f>'Your Budget'!E13</f>
        <v>844.0335</v>
      </c>
      <c r="K16" s="235"/>
    </row>
    <row r="17" spans="1:12" ht="29.25" customHeight="1">
      <c r="A17" s="235"/>
      <c r="B17" s="35" t="s">
        <v>387</v>
      </c>
      <c r="C17" s="48" t="s">
        <v>4</v>
      </c>
      <c r="D17" s="65">
        <v>1</v>
      </c>
      <c r="E17" s="199">
        <f>Equipment!D51</f>
        <v>3081.3351</v>
      </c>
      <c r="F17" s="199">
        <f t="shared" si="0"/>
        <v>3081.3351</v>
      </c>
      <c r="G17" s="199">
        <f t="shared" si="1"/>
        <v>2.801213727272727</v>
      </c>
      <c r="H17" s="49"/>
      <c r="I17" s="49">
        <f>J17/$I$5</f>
        <v>1.407511</v>
      </c>
      <c r="J17" s="49">
        <f>'Your Budget'!E14</f>
        <v>1548.2621</v>
      </c>
      <c r="K17" s="235"/>
      <c r="L17" s="146"/>
    </row>
    <row r="18" spans="1:11" ht="36" customHeight="1">
      <c r="A18" s="235"/>
      <c r="B18" s="35" t="s">
        <v>55</v>
      </c>
      <c r="C18" s="48" t="s">
        <v>325</v>
      </c>
      <c r="D18" s="13"/>
      <c r="E18" s="198">
        <v>0.51</v>
      </c>
      <c r="F18" s="199">
        <f t="shared" si="0"/>
        <v>0</v>
      </c>
      <c r="G18" s="199">
        <f t="shared" si="1"/>
        <v>0</v>
      </c>
      <c r="H18" s="49"/>
      <c r="I18" s="49">
        <f>J18/$I$5</f>
        <v>0.03068181818181818</v>
      </c>
      <c r="J18" s="49">
        <f>'Your Budget'!E15</f>
        <v>33.75</v>
      </c>
      <c r="K18" s="235"/>
    </row>
    <row r="19" spans="1:11" ht="12.75">
      <c r="A19" s="235"/>
      <c r="B19" s="9" t="s">
        <v>41</v>
      </c>
      <c r="C19" s="12" t="s">
        <v>4</v>
      </c>
      <c r="D19" s="13">
        <v>1</v>
      </c>
      <c r="E19" s="197">
        <f>'Your Budget'!E16</f>
        <v>901</v>
      </c>
      <c r="F19" s="197">
        <f t="shared" si="0"/>
        <v>901</v>
      </c>
      <c r="G19" s="197">
        <f t="shared" si="1"/>
        <v>0.8190909090909091</v>
      </c>
      <c r="H19" s="6"/>
      <c r="I19" s="6">
        <f>J19/$I$5</f>
        <v>0.8190909090909091</v>
      </c>
      <c r="J19" s="6">
        <f>('Your Budget'!E16)</f>
        <v>901</v>
      </c>
      <c r="K19" s="235"/>
    </row>
    <row r="20" spans="1:11" ht="12.75">
      <c r="A20" s="235"/>
      <c r="B20" s="42" t="s">
        <v>28</v>
      </c>
      <c r="C20" s="12" t="s">
        <v>4</v>
      </c>
      <c r="D20" s="13">
        <v>1</v>
      </c>
      <c r="E20" s="197">
        <f>Equipment!D48</f>
        <v>171.42999999999998</v>
      </c>
      <c r="F20" s="197">
        <f t="shared" si="0"/>
        <v>171.42999999999998</v>
      </c>
      <c r="G20" s="197">
        <f t="shared" si="1"/>
        <v>0.15584545454545454</v>
      </c>
      <c r="H20" s="6"/>
      <c r="I20" s="6">
        <f>J20/$I$5</f>
        <v>0.42439090909090915</v>
      </c>
      <c r="J20" s="6">
        <f>'Your Budget'!E18</f>
        <v>466.83000000000004</v>
      </c>
      <c r="K20" s="235"/>
    </row>
    <row r="21" spans="1:11" ht="12.75">
      <c r="A21" s="235"/>
      <c r="B21" s="9" t="s">
        <v>87</v>
      </c>
      <c r="C21" s="12" t="s">
        <v>4</v>
      </c>
      <c r="D21" s="13">
        <v>1</v>
      </c>
      <c r="E21" s="197">
        <f>'Your Budget'!E19</f>
        <v>50</v>
      </c>
      <c r="F21" s="197">
        <f t="shared" si="0"/>
        <v>50</v>
      </c>
      <c r="G21" s="197">
        <f t="shared" si="1"/>
        <v>0.045454545454545456</v>
      </c>
      <c r="H21" s="6"/>
      <c r="I21" s="6">
        <f aca="true" t="shared" si="3" ref="I21:I28">J21/$I$5</f>
        <v>0.045454545454545456</v>
      </c>
      <c r="J21" s="6">
        <f>('Your Budget'!E19)</f>
        <v>50</v>
      </c>
      <c r="K21" s="235"/>
    </row>
    <row r="22" spans="1:11" ht="12.75">
      <c r="A22" s="235"/>
      <c r="B22" s="9" t="s">
        <v>409</v>
      </c>
      <c r="C22" s="12" t="s">
        <v>4</v>
      </c>
      <c r="D22" s="13">
        <v>1</v>
      </c>
      <c r="E22" s="197">
        <f>'Your Budget'!E27</f>
        <v>40</v>
      </c>
      <c r="F22" s="197">
        <f>D22*E22</f>
        <v>40</v>
      </c>
      <c r="G22" s="197">
        <f>F22/$D$5</f>
        <v>0.03636363636363636</v>
      </c>
      <c r="H22" s="6"/>
      <c r="I22" s="6">
        <v>0</v>
      </c>
      <c r="J22" s="6">
        <f>'Your Budget'!E27</f>
        <v>40</v>
      </c>
      <c r="K22" s="235"/>
    </row>
    <row r="23" spans="1:11" ht="12.75">
      <c r="A23" s="235"/>
      <c r="B23" s="9" t="s">
        <v>88</v>
      </c>
      <c r="C23" s="12" t="s">
        <v>4</v>
      </c>
      <c r="D23" s="13">
        <v>1</v>
      </c>
      <c r="E23" s="197">
        <f>'Your Budget'!E21</f>
        <v>372</v>
      </c>
      <c r="F23" s="197">
        <f t="shared" si="0"/>
        <v>372</v>
      </c>
      <c r="G23" s="197">
        <f t="shared" si="1"/>
        <v>0.3381818181818182</v>
      </c>
      <c r="H23" s="6"/>
      <c r="I23" s="6">
        <f t="shared" si="3"/>
        <v>0.3381818181818182</v>
      </c>
      <c r="J23" s="6">
        <f>('Your Budget'!E21)</f>
        <v>372</v>
      </c>
      <c r="K23" s="235"/>
    </row>
    <row r="24" spans="1:11" ht="12.75">
      <c r="A24" s="235"/>
      <c r="B24" s="9" t="s">
        <v>129</v>
      </c>
      <c r="C24" s="12" t="s">
        <v>4</v>
      </c>
      <c r="D24" s="13">
        <v>1</v>
      </c>
      <c r="E24" s="197">
        <f>'Your Budget'!E22</f>
        <v>72</v>
      </c>
      <c r="F24" s="197">
        <f>D24*E24</f>
        <v>72</v>
      </c>
      <c r="G24" s="197">
        <f t="shared" si="1"/>
        <v>0.06545454545454546</v>
      </c>
      <c r="H24" s="6"/>
      <c r="I24" s="6">
        <f t="shared" si="3"/>
        <v>0.06545454545454546</v>
      </c>
      <c r="J24" s="6">
        <f>('Your Budget'!E22)</f>
        <v>72</v>
      </c>
      <c r="K24" s="235"/>
    </row>
    <row r="25" spans="1:11" ht="12.75">
      <c r="A25" s="235"/>
      <c r="B25" s="9" t="s">
        <v>130</v>
      </c>
      <c r="C25" s="12" t="s">
        <v>4</v>
      </c>
      <c r="D25" s="13">
        <v>1</v>
      </c>
      <c r="E25" s="197">
        <f>'Your Budget'!E23</f>
        <v>24.84</v>
      </c>
      <c r="F25" s="197">
        <f>D25*E25</f>
        <v>24.84</v>
      </c>
      <c r="G25" s="197">
        <f t="shared" si="1"/>
        <v>0.022581818181818182</v>
      </c>
      <c r="H25" s="6"/>
      <c r="I25" s="6">
        <f t="shared" si="3"/>
        <v>0.022581818181818182</v>
      </c>
      <c r="J25" s="6">
        <f>('Your Budget'!E23)</f>
        <v>24.84</v>
      </c>
      <c r="K25" s="235"/>
    </row>
    <row r="26" spans="1:11" ht="12.75">
      <c r="A26" s="235"/>
      <c r="B26" s="9" t="s">
        <v>390</v>
      </c>
      <c r="C26" s="12" t="s">
        <v>4</v>
      </c>
      <c r="D26" s="13">
        <v>1</v>
      </c>
      <c r="E26" s="197">
        <f>'Your Budget'!E24</f>
        <v>245.5</v>
      </c>
      <c r="F26" s="197">
        <f>D26*E26</f>
        <v>245.5</v>
      </c>
      <c r="G26" s="197">
        <f t="shared" si="1"/>
        <v>0.22318181818181818</v>
      </c>
      <c r="H26" s="6"/>
      <c r="I26" s="6">
        <f t="shared" si="3"/>
        <v>0.22318181818181818</v>
      </c>
      <c r="J26" s="6">
        <f>('Your Budget'!E24)</f>
        <v>245.5</v>
      </c>
      <c r="K26" s="235"/>
    </row>
    <row r="27" spans="1:11" ht="12.75">
      <c r="A27" s="235"/>
      <c r="B27" s="9" t="s">
        <v>131</v>
      </c>
      <c r="C27" s="12" t="s">
        <v>4</v>
      </c>
      <c r="D27" s="13">
        <v>1</v>
      </c>
      <c r="E27" s="197">
        <f>'Your Budget'!E25</f>
        <v>69</v>
      </c>
      <c r="F27" s="197">
        <f>D27*E27</f>
        <v>69</v>
      </c>
      <c r="G27" s="197">
        <f t="shared" si="1"/>
        <v>0.06272727272727273</v>
      </c>
      <c r="H27" s="6"/>
      <c r="I27" s="6">
        <f t="shared" si="3"/>
        <v>0.06272727272727273</v>
      </c>
      <c r="J27" s="6">
        <f>('Your Budget'!E25)</f>
        <v>69</v>
      </c>
      <c r="K27" s="235"/>
    </row>
    <row r="28" spans="1:11" ht="12.75">
      <c r="A28" s="235"/>
      <c r="B28" s="9" t="s">
        <v>410</v>
      </c>
      <c r="C28" s="12" t="s">
        <v>4</v>
      </c>
      <c r="D28" s="13">
        <v>1</v>
      </c>
      <c r="E28" s="197">
        <f>'Your Budget'!E20</f>
        <v>255</v>
      </c>
      <c r="F28" s="197">
        <f t="shared" si="0"/>
        <v>255</v>
      </c>
      <c r="G28" s="197">
        <f t="shared" si="1"/>
        <v>0.2318181818181818</v>
      </c>
      <c r="H28" s="6"/>
      <c r="I28" s="6">
        <f t="shared" si="3"/>
        <v>0.2318181818181818</v>
      </c>
      <c r="J28" s="6">
        <f>'Your Budget'!E20</f>
        <v>255</v>
      </c>
      <c r="K28" s="235"/>
    </row>
    <row r="29" spans="1:11" ht="12.75">
      <c r="A29" s="235"/>
      <c r="B29" s="9" t="s">
        <v>24</v>
      </c>
      <c r="C29" s="12" t="s">
        <v>4</v>
      </c>
      <c r="D29" s="13">
        <v>1</v>
      </c>
      <c r="E29" s="197">
        <f>SUM(E9:E28)*0.1</f>
        <v>1297.6623600000003</v>
      </c>
      <c r="F29" s="197">
        <f t="shared" si="0"/>
        <v>1297.6623600000003</v>
      </c>
      <c r="G29" s="197">
        <f t="shared" si="1"/>
        <v>1.1796930545454547</v>
      </c>
      <c r="H29" s="6"/>
      <c r="I29" s="6">
        <f>J29/$I$5</f>
        <v>0.42658842545454545</v>
      </c>
      <c r="J29" s="6">
        <f>'Your Budget'!E34</f>
        <v>469.247268</v>
      </c>
      <c r="K29" s="235"/>
    </row>
    <row r="30" spans="1:11" ht="15">
      <c r="A30" s="235"/>
      <c r="B30" s="230"/>
      <c r="C30" s="231"/>
      <c r="D30" s="231"/>
      <c r="E30" s="231"/>
      <c r="F30" s="231"/>
      <c r="G30" s="231"/>
      <c r="H30" s="231"/>
      <c r="I30" s="231"/>
      <c r="J30" s="231"/>
      <c r="K30" s="235"/>
    </row>
    <row r="31" spans="1:11" ht="12.75" customHeight="1">
      <c r="A31" s="235"/>
      <c r="B31" s="238" t="s">
        <v>66</v>
      </c>
      <c r="C31" s="239"/>
      <c r="D31" s="239"/>
      <c r="E31" s="240"/>
      <c r="F31" s="244">
        <f>SUM(F9:F28)</f>
        <v>12976.1136</v>
      </c>
      <c r="G31" s="244">
        <f t="shared" si="1"/>
        <v>11.79646690909091</v>
      </c>
      <c r="H31" s="260"/>
      <c r="I31" s="244">
        <f>J31/$I$5</f>
        <v>9.141180545454546</v>
      </c>
      <c r="J31" s="244">
        <f>SUM(J9:J28)</f>
        <v>10055.2986</v>
      </c>
      <c r="K31" s="235"/>
    </row>
    <row r="32" spans="1:11" ht="12.75">
      <c r="A32" s="235"/>
      <c r="B32" s="241"/>
      <c r="C32" s="242"/>
      <c r="D32" s="242"/>
      <c r="E32" s="243"/>
      <c r="F32" s="245"/>
      <c r="G32" s="245"/>
      <c r="H32" s="261"/>
      <c r="I32" s="245"/>
      <c r="J32" s="245"/>
      <c r="K32" s="235"/>
    </row>
    <row r="33" spans="1:11" ht="15">
      <c r="A33" s="235"/>
      <c r="B33" s="230"/>
      <c r="C33" s="231"/>
      <c r="D33" s="231"/>
      <c r="E33" s="231"/>
      <c r="F33" s="231"/>
      <c r="G33" s="231"/>
      <c r="H33" s="231"/>
      <c r="I33" s="231"/>
      <c r="J33" s="231"/>
      <c r="K33" s="235"/>
    </row>
    <row r="34" spans="1:11" ht="0.75" customHeight="1">
      <c r="A34" s="235"/>
      <c r="C34" s="52"/>
      <c r="D34" s="51"/>
      <c r="E34" s="53"/>
      <c r="F34" s="54"/>
      <c r="G34" s="54"/>
      <c r="H34" s="55"/>
      <c r="I34" s="66"/>
      <c r="J34" s="54"/>
      <c r="K34" s="235"/>
    </row>
    <row r="35" spans="1:11" ht="12.75" customHeight="1">
      <c r="A35" s="235"/>
      <c r="B35" s="238" t="s">
        <v>67</v>
      </c>
      <c r="C35" s="239"/>
      <c r="D35" s="239"/>
      <c r="E35" s="240"/>
      <c r="F35" s="246">
        <f>F31+F29</f>
        <v>14273.77596</v>
      </c>
      <c r="G35" s="246">
        <f>F35/D5</f>
        <v>12.976159963636364</v>
      </c>
      <c r="H35" s="250"/>
      <c r="I35" s="246">
        <f>J35/$I$5</f>
        <v>9.567768970909091</v>
      </c>
      <c r="J35" s="246">
        <f>J29+J31</f>
        <v>10524.545868</v>
      </c>
      <c r="K35" s="235"/>
    </row>
    <row r="36" spans="1:11" ht="12.75">
      <c r="A36" s="235"/>
      <c r="B36" s="241"/>
      <c r="C36" s="242"/>
      <c r="D36" s="242"/>
      <c r="E36" s="243"/>
      <c r="F36" s="247"/>
      <c r="G36" s="247"/>
      <c r="H36" s="251"/>
      <c r="I36" s="247"/>
      <c r="J36" s="247"/>
      <c r="K36" s="235"/>
    </row>
    <row r="37" spans="1:11" ht="15">
      <c r="A37" s="235"/>
      <c r="B37" s="230"/>
      <c r="C37" s="231"/>
      <c r="D37" s="231"/>
      <c r="E37" s="231"/>
      <c r="F37" s="231"/>
      <c r="G37" s="231"/>
      <c r="H37" s="231"/>
      <c r="I37" s="231"/>
      <c r="J37" s="231"/>
      <c r="K37" s="235"/>
    </row>
    <row r="38" spans="1:11" ht="15">
      <c r="A38" s="235"/>
      <c r="B38" s="232" t="s">
        <v>22</v>
      </c>
      <c r="C38" s="233"/>
      <c r="D38" s="233"/>
      <c r="E38" s="233"/>
      <c r="F38" s="233"/>
      <c r="G38" s="233"/>
      <c r="H38" s="233"/>
      <c r="I38" s="233"/>
      <c r="J38" s="234"/>
      <c r="K38" s="235"/>
    </row>
    <row r="39" spans="1:12" ht="12.75">
      <c r="A39" s="235"/>
      <c r="B39" s="9" t="s">
        <v>84</v>
      </c>
      <c r="C39" s="12" t="s">
        <v>4</v>
      </c>
      <c r="D39" s="13">
        <v>1</v>
      </c>
      <c r="E39" s="6">
        <f>Equipment!D46+Equipment!D47</f>
        <v>711.1691</v>
      </c>
      <c r="F39" s="6">
        <f>D39*E39</f>
        <v>711.1691</v>
      </c>
      <c r="G39" s="6">
        <f>F39/$D$5</f>
        <v>0.6465173636363636</v>
      </c>
      <c r="H39" s="6"/>
      <c r="I39" s="6">
        <f>J39/$I$5</f>
        <v>0.2829186</v>
      </c>
      <c r="J39" s="6">
        <f>'Your Budget'!E41</f>
        <v>311.21046</v>
      </c>
      <c r="K39" s="235"/>
      <c r="L39" s="146"/>
    </row>
    <row r="40" spans="1:11" ht="12.75">
      <c r="A40" s="235"/>
      <c r="B40" s="9" t="s">
        <v>10</v>
      </c>
      <c r="C40" s="12" t="s">
        <v>4</v>
      </c>
      <c r="D40" s="13">
        <v>1</v>
      </c>
      <c r="E40" s="6">
        <f>'Your Budget'!E42</f>
        <v>694</v>
      </c>
      <c r="F40" s="6">
        <f>D40*E40</f>
        <v>694</v>
      </c>
      <c r="G40" s="6">
        <f>F40/$D$5</f>
        <v>0.6309090909090909</v>
      </c>
      <c r="H40" s="6"/>
      <c r="I40" s="6">
        <f>J40/$I$5</f>
        <v>0.6309090909090909</v>
      </c>
      <c r="J40" s="6">
        <f>('Your Budget'!E42)</f>
        <v>694</v>
      </c>
      <c r="K40" s="235"/>
    </row>
    <row r="41" spans="1:11" ht="12.75">
      <c r="A41" s="235"/>
      <c r="B41" s="9" t="s">
        <v>7</v>
      </c>
      <c r="C41" s="12" t="s">
        <v>4</v>
      </c>
      <c r="D41" s="13">
        <v>1</v>
      </c>
      <c r="E41" s="6">
        <f>(E39+E40)*0.25</f>
        <v>351.292275</v>
      </c>
      <c r="F41" s="6">
        <f>D41*E41</f>
        <v>351.292275</v>
      </c>
      <c r="G41" s="6">
        <f>F41/$D$5</f>
        <v>0.31935661363636364</v>
      </c>
      <c r="H41" s="6"/>
      <c r="I41" s="49">
        <f>J41/$I$5</f>
        <v>2.2852951363636365</v>
      </c>
      <c r="J41" s="6">
        <f>('Your Budget'!E47)</f>
        <v>2513.82465</v>
      </c>
      <c r="K41" s="235"/>
    </row>
    <row r="42" spans="1:11" ht="15">
      <c r="A42" s="235"/>
      <c r="B42" s="232" t="s">
        <v>8</v>
      </c>
      <c r="C42" s="233"/>
      <c r="D42" s="233"/>
      <c r="E42" s="234"/>
      <c r="F42" s="15">
        <f>SUM(F39:F41)</f>
        <v>1756.461375</v>
      </c>
      <c r="G42" s="15">
        <f>F42/$D$5</f>
        <v>1.5967830681818183</v>
      </c>
      <c r="H42" s="15"/>
      <c r="I42" s="49">
        <f>J42/$I$5</f>
        <v>3.1991228272727272</v>
      </c>
      <c r="J42" s="15">
        <f>SUM(J39:J41)</f>
        <v>3519.03511</v>
      </c>
      <c r="K42" s="235"/>
    </row>
    <row r="43" spans="1:11" ht="15">
      <c r="A43" s="235"/>
      <c r="B43" s="230"/>
      <c r="C43" s="231"/>
      <c r="D43" s="231"/>
      <c r="E43" s="231"/>
      <c r="F43" s="231"/>
      <c r="G43" s="231"/>
      <c r="H43" s="231"/>
      <c r="I43" s="231"/>
      <c r="J43" s="231"/>
      <c r="K43" s="235"/>
    </row>
    <row r="44" spans="1:11" ht="15">
      <c r="A44" s="235"/>
      <c r="B44" s="232" t="s">
        <v>100</v>
      </c>
      <c r="C44" s="233"/>
      <c r="D44" s="233"/>
      <c r="E44" s="234"/>
      <c r="F44" s="15">
        <f>F35+F42</f>
        <v>16030.237335000002</v>
      </c>
      <c r="G44" s="15">
        <f>F44/D5</f>
        <v>14.572943031818184</v>
      </c>
      <c r="H44" s="15"/>
      <c r="I44" s="45">
        <f>J44/$I$5</f>
        <v>12.766891798181817</v>
      </c>
      <c r="J44" s="15">
        <f>(J35+J42)</f>
        <v>14043.580977999998</v>
      </c>
      <c r="K44" s="235"/>
    </row>
    <row r="45" spans="1:11" ht="15">
      <c r="A45" s="235"/>
      <c r="B45" s="230"/>
      <c r="C45" s="231"/>
      <c r="D45" s="231"/>
      <c r="E45" s="231"/>
      <c r="F45" s="231"/>
      <c r="G45" s="231"/>
      <c r="H45" s="231"/>
      <c r="I45" s="231"/>
      <c r="J45" s="231"/>
      <c r="K45" s="235"/>
    </row>
    <row r="46" spans="1:11" ht="15">
      <c r="A46" s="235"/>
      <c r="B46" s="232" t="s">
        <v>9</v>
      </c>
      <c r="C46" s="233"/>
      <c r="D46" s="233"/>
      <c r="E46" s="233"/>
      <c r="F46" s="233"/>
      <c r="G46" s="233"/>
      <c r="H46" s="233"/>
      <c r="I46" s="233"/>
      <c r="J46" s="234"/>
      <c r="K46" s="235"/>
    </row>
    <row r="47" spans="1:12" ht="12.75">
      <c r="A47" s="235"/>
      <c r="B47" s="9" t="s">
        <v>132</v>
      </c>
      <c r="C47" s="12" t="str">
        <f>$E$5</f>
        <v>cartons</v>
      </c>
      <c r="D47" s="38">
        <f>$D$5</f>
        <v>1100</v>
      </c>
      <c r="E47" s="6">
        <f>'Your Budget'!D56</f>
        <v>2.4</v>
      </c>
      <c r="F47" s="6">
        <f>D47*E47</f>
        <v>2640</v>
      </c>
      <c r="G47" s="6">
        <f>F47/$D$5</f>
        <v>2.4</v>
      </c>
      <c r="H47" s="142">
        <f>$I$5</f>
        <v>1100</v>
      </c>
      <c r="I47" s="6">
        <f>'Your Budget'!D56</f>
        <v>2.4</v>
      </c>
      <c r="J47" s="6">
        <f>I47*$I$5</f>
        <v>2640</v>
      </c>
      <c r="K47" s="235"/>
      <c r="L47" s="146"/>
    </row>
    <row r="48" spans="1:12" ht="12.75">
      <c r="A48" s="235"/>
      <c r="B48" s="9" t="s">
        <v>133</v>
      </c>
      <c r="C48" s="12" t="str">
        <f>$E$5</f>
        <v>cartons</v>
      </c>
      <c r="D48" s="38">
        <f>$D$5</f>
        <v>1100</v>
      </c>
      <c r="E48" s="6">
        <f>'Your Budget'!D57</f>
        <v>0.61</v>
      </c>
      <c r="F48" s="6">
        <f>D48*E48</f>
        <v>671</v>
      </c>
      <c r="G48" s="6">
        <f>F48/$D$5</f>
        <v>0.61</v>
      </c>
      <c r="H48" s="142">
        <f>$I$5</f>
        <v>1100</v>
      </c>
      <c r="I48" s="6">
        <f>'Your Budget'!D57</f>
        <v>0.61</v>
      </c>
      <c r="J48" s="6">
        <f>I48*$I$5</f>
        <v>671</v>
      </c>
      <c r="K48" s="235"/>
      <c r="L48" s="146"/>
    </row>
    <row r="49" spans="1:12" ht="12.75">
      <c r="A49" s="235"/>
      <c r="B49" s="9" t="s">
        <v>134</v>
      </c>
      <c r="C49" s="12" t="str">
        <f>$E$5</f>
        <v>cartons</v>
      </c>
      <c r="D49" s="38">
        <f>$D$5</f>
        <v>1100</v>
      </c>
      <c r="E49" s="6">
        <f>'Your Budget'!D58</f>
        <v>0.95</v>
      </c>
      <c r="F49" s="6">
        <f>D49*E49</f>
        <v>1045</v>
      </c>
      <c r="G49" s="6">
        <f>F49/$D$5</f>
        <v>0.95</v>
      </c>
      <c r="H49" s="142">
        <f>$I$5</f>
        <v>1100</v>
      </c>
      <c r="I49" s="6">
        <f>'Your Budget'!D58</f>
        <v>0.95</v>
      </c>
      <c r="J49" s="6">
        <f>I49*$I$5</f>
        <v>1045</v>
      </c>
      <c r="K49" s="235"/>
      <c r="L49" s="146"/>
    </row>
    <row r="50" spans="1:12" ht="16.5" customHeight="1">
      <c r="A50" s="235"/>
      <c r="B50" s="35" t="s">
        <v>51</v>
      </c>
      <c r="C50" s="12" t="str">
        <f>$E$5</f>
        <v>cartons</v>
      </c>
      <c r="D50" s="46">
        <f>$D$5</f>
        <v>1100</v>
      </c>
      <c r="E50" s="6">
        <f>'Your Budget'!D59</f>
        <v>0</v>
      </c>
      <c r="F50" s="49">
        <f>D50*E50</f>
        <v>0</v>
      </c>
      <c r="G50" s="49">
        <f>F50/$D$5</f>
        <v>0</v>
      </c>
      <c r="H50" s="143">
        <f>$I$5</f>
        <v>1100</v>
      </c>
      <c r="I50" s="49">
        <f>SUM('Your Budget'!D59:D61)</f>
        <v>0</v>
      </c>
      <c r="J50" s="49">
        <f>I50*$I$5</f>
        <v>0</v>
      </c>
      <c r="K50" s="235"/>
      <c r="L50" s="146"/>
    </row>
    <row r="51" spans="1:26" ht="15">
      <c r="A51" s="235"/>
      <c r="B51" s="230"/>
      <c r="C51" s="231"/>
      <c r="D51" s="231"/>
      <c r="E51" s="231"/>
      <c r="F51" s="231"/>
      <c r="G51" s="231"/>
      <c r="H51" s="231"/>
      <c r="I51" s="231"/>
      <c r="J51" s="231"/>
      <c r="K51" s="235"/>
      <c r="R51" s="259"/>
      <c r="S51" s="259"/>
      <c r="T51" s="259"/>
      <c r="U51" s="259"/>
      <c r="V51" s="259"/>
      <c r="W51" s="259"/>
      <c r="X51" s="259"/>
      <c r="Y51" s="259"/>
      <c r="Z51" s="259"/>
    </row>
    <row r="52" spans="1:11" ht="36" customHeight="1">
      <c r="A52" s="235"/>
      <c r="B52" s="262" t="s">
        <v>99</v>
      </c>
      <c r="C52" s="263"/>
      <c r="D52" s="264"/>
      <c r="E52" s="37"/>
      <c r="F52" s="45">
        <f>SUM(F47:F50)</f>
        <v>4356</v>
      </c>
      <c r="G52" s="45">
        <f>F52/$D$5</f>
        <v>3.96</v>
      </c>
      <c r="H52" s="50"/>
      <c r="I52" s="45">
        <f>'Your Budget'!D62</f>
        <v>3.96</v>
      </c>
      <c r="J52" s="45">
        <f>SUM(J47:J50)</f>
        <v>4356</v>
      </c>
      <c r="K52" s="235"/>
    </row>
    <row r="53" spans="1:11" ht="15">
      <c r="A53" s="235"/>
      <c r="B53" s="230"/>
      <c r="C53" s="231"/>
      <c r="D53" s="231"/>
      <c r="E53" s="231"/>
      <c r="F53" s="231"/>
      <c r="G53" s="231"/>
      <c r="H53" s="231"/>
      <c r="I53" s="231"/>
      <c r="J53" s="231"/>
      <c r="K53" s="235"/>
    </row>
    <row r="54" spans="1:11" ht="15.75">
      <c r="A54" s="235"/>
      <c r="B54" s="265" t="s">
        <v>16</v>
      </c>
      <c r="C54" s="266"/>
      <c r="D54" s="266"/>
      <c r="E54" s="267"/>
      <c r="F54" s="15">
        <f>F44+F52</f>
        <v>20386.237335</v>
      </c>
      <c r="G54" s="15">
        <f>F54/$D$5</f>
        <v>18.532943031818185</v>
      </c>
      <c r="H54" s="6"/>
      <c r="I54" s="15">
        <f>J54/$I$5</f>
        <v>16.726891798181818</v>
      </c>
      <c r="J54" s="15">
        <f>J44+J52</f>
        <v>18399.580977999998</v>
      </c>
      <c r="K54" s="235"/>
    </row>
    <row r="55" spans="1:11" ht="15">
      <c r="A55" s="236"/>
      <c r="B55" s="230"/>
      <c r="C55" s="231"/>
      <c r="D55" s="231"/>
      <c r="E55" s="231"/>
      <c r="F55" s="231"/>
      <c r="G55" s="231"/>
      <c r="H55" s="231"/>
      <c r="I55" s="231"/>
      <c r="J55" s="231"/>
      <c r="K55" s="236"/>
    </row>
  </sheetData>
  <sheetProtection sheet="1"/>
  <mergeCells count="36">
    <mergeCell ref="B52:D52"/>
    <mergeCell ref="B54:E54"/>
    <mergeCell ref="B53:J53"/>
    <mergeCell ref="B33:J33"/>
    <mergeCell ref="B37:J37"/>
    <mergeCell ref="B43:J43"/>
    <mergeCell ref="R51:Z51"/>
    <mergeCell ref="K8:K55"/>
    <mergeCell ref="B44:E44"/>
    <mergeCell ref="B42:E42"/>
    <mergeCell ref="H31:H32"/>
    <mergeCell ref="B45:J45"/>
    <mergeCell ref="B51:J51"/>
    <mergeCell ref="B38:J38"/>
    <mergeCell ref="I31:I32"/>
    <mergeCell ref="J31:J32"/>
    <mergeCell ref="B2:J3"/>
    <mergeCell ref="I35:I36"/>
    <mergeCell ref="H35:H36"/>
    <mergeCell ref="J35:J36"/>
    <mergeCell ref="F35:F36"/>
    <mergeCell ref="F4:H5"/>
    <mergeCell ref="B35:E36"/>
    <mergeCell ref="B7:J7"/>
    <mergeCell ref="B30:J30"/>
    <mergeCell ref="B8:J8"/>
    <mergeCell ref="B55:J55"/>
    <mergeCell ref="B46:J46"/>
    <mergeCell ref="A8:A55"/>
    <mergeCell ref="B4:B5"/>
    <mergeCell ref="B31:E32"/>
    <mergeCell ref="F31:F32"/>
    <mergeCell ref="G35:G36"/>
    <mergeCell ref="G31:G32"/>
    <mergeCell ref="I4:J4"/>
    <mergeCell ref="D4:E4"/>
  </mergeCells>
  <printOptions gridLines="1" verticalCentered="1"/>
  <pageMargins left="0" right="0" top="0" bottom="0" header="0" footer="0"/>
  <pageSetup blackAndWhite="1" horizontalDpi="300" verticalDpi="300" orientation="landscape" r:id="rId1"/>
  <ignoredErrors>
    <ignoredError sqref="F16" formula="1"/>
    <ignoredError sqref="I50" formulaRange="1"/>
  </ignoredErrors>
</worksheet>
</file>

<file path=xl/worksheets/sheet20.xml><?xml version="1.0" encoding="utf-8"?>
<worksheet xmlns="http://schemas.openxmlformats.org/spreadsheetml/2006/main" xmlns:r="http://schemas.openxmlformats.org/officeDocument/2006/relationships">
  <sheetPr>
    <tabColor rgb="FF002060"/>
    <pageSetUpPr fitToPage="1"/>
  </sheetPr>
  <dimension ref="A1:O34"/>
  <sheetViews>
    <sheetView zoomScalePageLayoutView="0" workbookViewId="0" topLeftCell="A1">
      <pane ySplit="3" topLeftCell="A4" activePane="bottomLeft" state="frozen"/>
      <selection pane="topLeft" activeCell="I39" sqref="I39"/>
      <selection pane="bottomLeft" activeCell="F31" sqref="F31"/>
    </sheetView>
  </sheetViews>
  <sheetFormatPr defaultColWidth="9.140625" defaultRowHeight="12.75"/>
  <cols>
    <col min="1" max="1" width="38.421875" style="0" customWidth="1"/>
    <col min="3" max="3" width="13.8515625" style="0" customWidth="1"/>
    <col min="4" max="4" width="13.00390625" style="0" customWidth="1"/>
    <col min="5" max="5" width="12.57421875" style="0" customWidth="1"/>
    <col min="6" max="6" width="17.421875" style="0" customWidth="1"/>
    <col min="7" max="7" width="2.140625" style="0" customWidth="1"/>
    <col min="8" max="8" width="21.7109375" style="0" customWidth="1"/>
    <col min="10" max="10" width="18.28125" style="0" customWidth="1"/>
    <col min="13" max="13" width="14.421875" style="0" customWidth="1"/>
    <col min="14" max="14" width="15.28125" style="0" customWidth="1"/>
  </cols>
  <sheetData>
    <row r="1" spans="1:15" ht="15.75">
      <c r="A1" s="325" t="s">
        <v>423</v>
      </c>
      <c r="B1" s="325"/>
      <c r="C1" s="325"/>
      <c r="D1" s="325"/>
      <c r="E1" s="325"/>
      <c r="F1" s="325"/>
      <c r="G1" s="325"/>
      <c r="I1" s="208"/>
      <c r="J1" s="207"/>
      <c r="K1" s="208"/>
      <c r="L1" s="208"/>
      <c r="M1" s="208"/>
      <c r="N1" s="208"/>
      <c r="O1" s="208"/>
    </row>
    <row r="2" spans="1:15" ht="20.25" customHeight="1">
      <c r="A2" s="105" t="s">
        <v>394</v>
      </c>
      <c r="B2" s="61" t="s">
        <v>29</v>
      </c>
      <c r="C2" s="61" t="s">
        <v>152</v>
      </c>
      <c r="D2" s="61" t="s">
        <v>30</v>
      </c>
      <c r="E2" s="59" t="s">
        <v>33</v>
      </c>
      <c r="F2" s="94" t="s">
        <v>105</v>
      </c>
      <c r="G2" s="404"/>
      <c r="H2" s="318" t="s">
        <v>167</v>
      </c>
      <c r="I2" s="208"/>
      <c r="J2" s="209"/>
      <c r="K2" s="209"/>
      <c r="L2" s="209"/>
      <c r="M2" s="209"/>
      <c r="N2" s="210"/>
      <c r="O2" s="208"/>
    </row>
    <row r="3" spans="1:15" ht="10.5" customHeight="1">
      <c r="A3" s="409"/>
      <c r="B3" s="290"/>
      <c r="C3" s="290"/>
      <c r="D3" s="290"/>
      <c r="E3" s="290"/>
      <c r="F3" s="290"/>
      <c r="G3" s="404"/>
      <c r="H3" s="318"/>
      <c r="I3" s="208"/>
      <c r="J3" s="403"/>
      <c r="K3" s="403"/>
      <c r="L3" s="403"/>
      <c r="M3" s="403"/>
      <c r="N3" s="403"/>
      <c r="O3" s="208"/>
    </row>
    <row r="4" spans="1:15" ht="12.75" customHeight="1">
      <c r="A4" s="21" t="s">
        <v>328</v>
      </c>
      <c r="B4" s="28" t="s">
        <v>142</v>
      </c>
      <c r="C4" s="32">
        <v>1.25</v>
      </c>
      <c r="D4" s="29">
        <v>123.08</v>
      </c>
      <c r="E4" s="28">
        <v>1</v>
      </c>
      <c r="F4" s="7">
        <f>(C4*D4)*E4</f>
        <v>153.85</v>
      </c>
      <c r="G4" s="404"/>
      <c r="H4" s="89"/>
      <c r="I4" s="208"/>
      <c r="J4" s="212"/>
      <c r="K4" s="211"/>
      <c r="L4" s="213"/>
      <c r="M4" s="169"/>
      <c r="N4" s="169"/>
      <c r="O4" s="208"/>
    </row>
    <row r="5" spans="1:15" ht="12.75">
      <c r="A5" s="21" t="s">
        <v>329</v>
      </c>
      <c r="B5" s="28" t="s">
        <v>330</v>
      </c>
      <c r="C5" s="32">
        <v>6</v>
      </c>
      <c r="D5" s="29">
        <v>7.27</v>
      </c>
      <c r="E5" s="28">
        <v>2</v>
      </c>
      <c r="F5" s="7">
        <f aca="true" t="shared" si="0" ref="F5:F29">(C5*D5)*E5</f>
        <v>87.24</v>
      </c>
      <c r="G5" s="404"/>
      <c r="I5" s="208"/>
      <c r="J5" s="212"/>
      <c r="K5" s="211"/>
      <c r="L5" s="224"/>
      <c r="M5" s="213"/>
      <c r="N5" s="169"/>
      <c r="O5" s="208"/>
    </row>
    <row r="6" spans="1:15" ht="12.75">
      <c r="A6" s="21" t="s">
        <v>331</v>
      </c>
      <c r="B6" s="28" t="s">
        <v>330</v>
      </c>
      <c r="C6" s="32">
        <v>2.75</v>
      </c>
      <c r="D6" s="29">
        <v>6.55</v>
      </c>
      <c r="E6" s="28">
        <v>2</v>
      </c>
      <c r="F6" s="7">
        <f t="shared" si="0"/>
        <v>36.025</v>
      </c>
      <c r="G6" s="404"/>
      <c r="I6" s="208"/>
      <c r="J6" s="212"/>
      <c r="K6" s="211"/>
      <c r="L6" s="213"/>
      <c r="M6" s="169"/>
      <c r="N6" s="169"/>
      <c r="O6" s="208"/>
    </row>
    <row r="7" spans="1:15" ht="12.75">
      <c r="A7" s="21" t="s">
        <v>332</v>
      </c>
      <c r="B7" s="28" t="s">
        <v>330</v>
      </c>
      <c r="C7" s="32">
        <v>3</v>
      </c>
      <c r="D7" s="29">
        <v>6.31</v>
      </c>
      <c r="E7" s="28">
        <v>2</v>
      </c>
      <c r="F7" s="7">
        <f t="shared" si="0"/>
        <v>37.86</v>
      </c>
      <c r="G7" s="404"/>
      <c r="I7" s="208"/>
      <c r="J7" s="212"/>
      <c r="K7" s="211"/>
      <c r="L7" s="213"/>
      <c r="M7" s="169"/>
      <c r="N7" s="169"/>
      <c r="O7" s="208"/>
    </row>
    <row r="8" spans="1:15" ht="12.75">
      <c r="A8" s="21" t="s">
        <v>333</v>
      </c>
      <c r="B8" s="28" t="s">
        <v>334</v>
      </c>
      <c r="C8" s="32">
        <v>1.5</v>
      </c>
      <c r="D8" s="29">
        <v>4.76</v>
      </c>
      <c r="E8" s="28">
        <v>3</v>
      </c>
      <c r="F8" s="7">
        <f t="shared" si="0"/>
        <v>21.419999999999998</v>
      </c>
      <c r="G8" s="404"/>
      <c r="I8" s="208"/>
      <c r="J8" s="212"/>
      <c r="K8" s="211"/>
      <c r="L8" s="213"/>
      <c r="M8" s="169"/>
      <c r="N8" s="169"/>
      <c r="O8" s="208"/>
    </row>
    <row r="9" spans="1:15" ht="12.75">
      <c r="A9" s="21" t="s">
        <v>335</v>
      </c>
      <c r="B9" s="28" t="s">
        <v>330</v>
      </c>
      <c r="C9" s="32">
        <v>8</v>
      </c>
      <c r="D9" s="29">
        <v>6.58</v>
      </c>
      <c r="E9" s="28">
        <v>3</v>
      </c>
      <c r="F9" s="7">
        <f t="shared" si="0"/>
        <v>157.92000000000002</v>
      </c>
      <c r="G9" s="404"/>
      <c r="I9" s="208"/>
      <c r="J9" s="212"/>
      <c r="K9" s="211"/>
      <c r="L9" s="224"/>
      <c r="M9" s="213"/>
      <c r="N9" s="169"/>
      <c r="O9" s="208"/>
    </row>
    <row r="10" spans="1:15" ht="12.75">
      <c r="A10" s="21" t="s">
        <v>336</v>
      </c>
      <c r="B10" s="28" t="s">
        <v>330</v>
      </c>
      <c r="C10" s="32">
        <v>12</v>
      </c>
      <c r="D10" s="29">
        <v>2.36</v>
      </c>
      <c r="E10" s="28">
        <v>2</v>
      </c>
      <c r="F10" s="7">
        <f t="shared" si="0"/>
        <v>56.64</v>
      </c>
      <c r="G10" s="404"/>
      <c r="I10" s="208"/>
      <c r="J10" s="212"/>
      <c r="K10" s="211"/>
      <c r="L10" s="224"/>
      <c r="M10" s="213"/>
      <c r="N10" s="169"/>
      <c r="O10" s="208"/>
    </row>
    <row r="11" spans="1:15" ht="12.75">
      <c r="A11" s="21" t="s">
        <v>337</v>
      </c>
      <c r="B11" s="28" t="s">
        <v>330</v>
      </c>
      <c r="C11" s="32">
        <v>8</v>
      </c>
      <c r="D11" s="29">
        <v>1.25</v>
      </c>
      <c r="E11" s="28">
        <v>4</v>
      </c>
      <c r="F11" s="7">
        <f t="shared" si="0"/>
        <v>40</v>
      </c>
      <c r="G11" s="404"/>
      <c r="I11" s="208"/>
      <c r="J11" s="212"/>
      <c r="K11" s="211"/>
      <c r="L11" s="213"/>
      <c r="M11" s="169"/>
      <c r="N11" s="169"/>
      <c r="O11" s="208"/>
    </row>
    <row r="12" spans="1:15" ht="12.75">
      <c r="A12" s="21" t="s">
        <v>338</v>
      </c>
      <c r="B12" s="28" t="s">
        <v>330</v>
      </c>
      <c r="C12" s="32">
        <v>4</v>
      </c>
      <c r="D12" s="29">
        <v>0.81</v>
      </c>
      <c r="E12" s="28">
        <v>2</v>
      </c>
      <c r="F12" s="7">
        <f t="shared" si="0"/>
        <v>6.48</v>
      </c>
      <c r="G12" s="404"/>
      <c r="I12" s="208"/>
      <c r="J12" s="212"/>
      <c r="K12" s="211"/>
      <c r="L12" s="213"/>
      <c r="M12" s="169"/>
      <c r="N12" s="169"/>
      <c r="O12" s="208"/>
    </row>
    <row r="13" spans="1:15" ht="12.75">
      <c r="A13" s="21" t="s">
        <v>339</v>
      </c>
      <c r="B13" s="28" t="s">
        <v>330</v>
      </c>
      <c r="C13" s="32">
        <v>1</v>
      </c>
      <c r="D13" s="29">
        <v>5.87</v>
      </c>
      <c r="E13" s="28">
        <v>2</v>
      </c>
      <c r="F13" s="7">
        <f t="shared" si="0"/>
        <v>11.74</v>
      </c>
      <c r="G13" s="404"/>
      <c r="I13" s="208"/>
      <c r="J13" s="212"/>
      <c r="K13" s="211"/>
      <c r="L13" s="213"/>
      <c r="M13" s="169"/>
      <c r="N13" s="169"/>
      <c r="O13" s="208"/>
    </row>
    <row r="14" spans="1:15" ht="15">
      <c r="A14" s="21" t="s">
        <v>340</v>
      </c>
      <c r="B14" s="28" t="s">
        <v>142</v>
      </c>
      <c r="C14" s="32">
        <v>1.25</v>
      </c>
      <c r="D14" s="29">
        <v>14.73</v>
      </c>
      <c r="E14" s="28">
        <v>1</v>
      </c>
      <c r="F14" s="7">
        <f t="shared" si="0"/>
        <v>18.4125</v>
      </c>
      <c r="G14" s="404"/>
      <c r="I14" s="208"/>
      <c r="J14" s="395"/>
      <c r="K14" s="395"/>
      <c r="L14" s="395"/>
      <c r="M14" s="395"/>
      <c r="N14" s="214"/>
      <c r="O14" s="208"/>
    </row>
    <row r="15" spans="1:15" ht="12.75">
      <c r="A15" s="21" t="s">
        <v>141</v>
      </c>
      <c r="B15" s="28" t="s">
        <v>142</v>
      </c>
      <c r="C15" s="32">
        <v>1.25</v>
      </c>
      <c r="D15" s="29">
        <v>1.99</v>
      </c>
      <c r="E15" s="28">
        <v>1</v>
      </c>
      <c r="F15" s="7">
        <f t="shared" si="0"/>
        <v>2.4875</v>
      </c>
      <c r="G15" s="404"/>
      <c r="I15" s="208"/>
      <c r="J15" s="208"/>
      <c r="K15" s="208"/>
      <c r="L15" s="208"/>
      <c r="M15" s="208"/>
      <c r="N15" s="208"/>
      <c r="O15" s="208"/>
    </row>
    <row r="16" spans="1:15" ht="12.75">
      <c r="A16" s="21" t="s">
        <v>341</v>
      </c>
      <c r="B16" s="28" t="s">
        <v>138</v>
      </c>
      <c r="C16" s="32">
        <v>0.25</v>
      </c>
      <c r="D16" s="29">
        <v>34.16</v>
      </c>
      <c r="E16" s="28">
        <v>4</v>
      </c>
      <c r="F16" s="7">
        <f t="shared" si="0"/>
        <v>34.16</v>
      </c>
      <c r="G16" s="404"/>
      <c r="I16" s="208"/>
      <c r="J16" s="208"/>
      <c r="K16" s="208"/>
      <c r="L16" s="208"/>
      <c r="M16" s="208"/>
      <c r="N16" s="208"/>
      <c r="O16" s="208"/>
    </row>
    <row r="17" spans="1:15" ht="12.75">
      <c r="A17" s="21" t="s">
        <v>342</v>
      </c>
      <c r="B17" s="28" t="s">
        <v>330</v>
      </c>
      <c r="C17" s="32">
        <v>8</v>
      </c>
      <c r="D17" s="29">
        <v>3.18</v>
      </c>
      <c r="E17" s="28">
        <v>2</v>
      </c>
      <c r="F17" s="7">
        <f t="shared" si="0"/>
        <v>50.88</v>
      </c>
      <c r="G17" s="404"/>
      <c r="I17" s="208"/>
      <c r="J17" s="208"/>
      <c r="K17" s="208"/>
      <c r="L17" s="208"/>
      <c r="M17" s="208"/>
      <c r="N17" s="208"/>
      <c r="O17" s="208"/>
    </row>
    <row r="18" spans="1:7" ht="12.75">
      <c r="A18" s="21" t="s">
        <v>150</v>
      </c>
      <c r="B18" s="28" t="s">
        <v>138</v>
      </c>
      <c r="C18" s="32">
        <v>0.1</v>
      </c>
      <c r="D18" s="29">
        <v>205.8</v>
      </c>
      <c r="E18" s="28"/>
      <c r="F18" s="7">
        <f aca="true" t="shared" si="1" ref="F18:F27">(C18*D18)*E18</f>
        <v>0</v>
      </c>
      <c r="G18" s="404"/>
    </row>
    <row r="19" spans="1:7" ht="12.75">
      <c r="A19" s="21" t="s">
        <v>143</v>
      </c>
      <c r="B19" s="28" t="s">
        <v>138</v>
      </c>
      <c r="C19" s="32">
        <v>0.1</v>
      </c>
      <c r="D19" s="29">
        <v>302.08</v>
      </c>
      <c r="E19" s="28"/>
      <c r="F19" s="7">
        <f t="shared" si="1"/>
        <v>0</v>
      </c>
      <c r="G19" s="404"/>
    </row>
    <row r="20" spans="1:7" ht="12.75">
      <c r="A20" s="21" t="s">
        <v>144</v>
      </c>
      <c r="B20" s="28" t="s">
        <v>138</v>
      </c>
      <c r="C20" s="32">
        <v>0.18</v>
      </c>
      <c r="D20" s="29">
        <v>86.75</v>
      </c>
      <c r="E20" s="28"/>
      <c r="F20" s="7">
        <f t="shared" si="1"/>
        <v>0</v>
      </c>
      <c r="G20" s="404"/>
    </row>
    <row r="21" spans="1:7" ht="12.75">
      <c r="A21" s="21" t="s">
        <v>145</v>
      </c>
      <c r="B21" s="28" t="s">
        <v>138</v>
      </c>
      <c r="C21" s="32">
        <v>0.45</v>
      </c>
      <c r="D21" s="29">
        <v>60.6</v>
      </c>
      <c r="E21" s="28"/>
      <c r="F21" s="7">
        <f t="shared" si="1"/>
        <v>0</v>
      </c>
      <c r="G21" s="404"/>
    </row>
    <row r="22" spans="1:7" ht="12.75">
      <c r="A22" s="21" t="s">
        <v>141</v>
      </c>
      <c r="B22" s="28" t="s">
        <v>142</v>
      </c>
      <c r="C22" s="32">
        <v>6.5</v>
      </c>
      <c r="D22" s="29">
        <v>1.99</v>
      </c>
      <c r="E22" s="28"/>
      <c r="F22" s="7">
        <f t="shared" si="1"/>
        <v>0</v>
      </c>
      <c r="G22" s="404"/>
    </row>
    <row r="23" spans="1:7" ht="12.75">
      <c r="A23" s="21" t="s">
        <v>161</v>
      </c>
      <c r="B23" s="28" t="s">
        <v>138</v>
      </c>
      <c r="C23" s="32">
        <v>0.12</v>
      </c>
      <c r="D23" s="29">
        <v>26</v>
      </c>
      <c r="E23" s="28"/>
      <c r="F23" s="7">
        <f t="shared" si="1"/>
        <v>0</v>
      </c>
      <c r="G23" s="404"/>
    </row>
    <row r="24" spans="1:7" ht="12.75">
      <c r="A24" s="21" t="s">
        <v>162</v>
      </c>
      <c r="B24" s="28" t="s">
        <v>142</v>
      </c>
      <c r="C24" s="32">
        <v>1.24</v>
      </c>
      <c r="D24" s="29">
        <v>11.45</v>
      </c>
      <c r="E24" s="28"/>
      <c r="F24" s="7">
        <f t="shared" si="1"/>
        <v>0</v>
      </c>
      <c r="G24" s="404"/>
    </row>
    <row r="25" spans="1:7" ht="12.75">
      <c r="A25" s="21" t="s">
        <v>140</v>
      </c>
      <c r="B25" s="28" t="s">
        <v>138</v>
      </c>
      <c r="C25" s="32">
        <v>0.75</v>
      </c>
      <c r="D25" s="29">
        <v>79.48</v>
      </c>
      <c r="E25" s="28"/>
      <c r="F25" s="7">
        <f t="shared" si="1"/>
        <v>0</v>
      </c>
      <c r="G25" s="404"/>
    </row>
    <row r="26" spans="1:7" ht="12.75">
      <c r="A26" s="21" t="s">
        <v>151</v>
      </c>
      <c r="B26" s="28" t="s">
        <v>138</v>
      </c>
      <c r="C26" s="32">
        <v>1.5</v>
      </c>
      <c r="D26" s="29">
        <v>40.23</v>
      </c>
      <c r="E26" s="28"/>
      <c r="F26" s="7">
        <f t="shared" si="1"/>
        <v>0</v>
      </c>
      <c r="G26" s="404"/>
    </row>
    <row r="27" spans="1:7" ht="12.75">
      <c r="A27" s="21" t="s">
        <v>139</v>
      </c>
      <c r="B27" s="28" t="s">
        <v>138</v>
      </c>
      <c r="C27" s="32">
        <v>0.75</v>
      </c>
      <c r="D27" s="29">
        <v>33.85</v>
      </c>
      <c r="E27" s="28"/>
      <c r="F27" s="7">
        <f t="shared" si="1"/>
        <v>0</v>
      </c>
      <c r="G27" s="404"/>
    </row>
    <row r="28" spans="1:7" ht="12.75">
      <c r="A28" s="21"/>
      <c r="B28" s="28"/>
      <c r="C28" s="32"/>
      <c r="D28" s="29"/>
      <c r="E28" s="28"/>
      <c r="F28" s="7">
        <f t="shared" si="0"/>
        <v>0</v>
      </c>
      <c r="G28" s="404"/>
    </row>
    <row r="29" spans="1:7" ht="12.75">
      <c r="A29" s="21"/>
      <c r="B29" s="33"/>
      <c r="C29" s="107"/>
      <c r="D29" s="29"/>
      <c r="E29" s="33"/>
      <c r="F29" s="7">
        <f t="shared" si="0"/>
        <v>0</v>
      </c>
      <c r="G29" s="404"/>
    </row>
    <row r="30" spans="1:7" ht="11.25" customHeight="1">
      <c r="A30" s="410"/>
      <c r="B30" s="410"/>
      <c r="C30" s="410"/>
      <c r="D30" s="410"/>
      <c r="E30" s="410"/>
      <c r="F30" s="410"/>
      <c r="G30" s="404"/>
    </row>
    <row r="31" spans="1:7" ht="15">
      <c r="A31" s="406" t="s">
        <v>16</v>
      </c>
      <c r="B31" s="407"/>
      <c r="C31" s="407"/>
      <c r="D31" s="407"/>
      <c r="E31" s="408"/>
      <c r="F31" s="34">
        <f>SUM(F4:F29)</f>
        <v>715.115</v>
      </c>
      <c r="G31" s="404"/>
    </row>
    <row r="32" spans="1:7" ht="11.25" customHeight="1">
      <c r="A32" s="290"/>
      <c r="B32" s="290"/>
      <c r="C32" s="290"/>
      <c r="D32" s="290"/>
      <c r="E32" s="290"/>
      <c r="F32" s="290"/>
      <c r="G32" s="405"/>
    </row>
    <row r="34" ht="12.75">
      <c r="A34" s="171"/>
    </row>
  </sheetData>
  <sheetProtection sheet="1"/>
  <protectedRanges>
    <protectedRange sqref="A29" name="Range2"/>
    <protectedRange sqref="A9 A11:A28" name="Range2_1"/>
    <protectedRange sqref="B4:D9 B11:D17 B28:D28 B18:C26 E4:E28 B27:C27" name="Range1_1"/>
    <protectedRange sqref="D18:D27" name="Range1_1_3"/>
    <protectedRange sqref="K11:M11 K8:M8 K13:M13" name="Range1_3_1"/>
    <protectedRange sqref="J6:J7" name="Range2_2_1"/>
    <protectedRange sqref="K6:M7" name="Range1_1_1_1"/>
    <protectedRange sqref="J4:J5 J12 J9:J10" name="Range2_1_1_1"/>
    <protectedRange sqref="K4:M5 K9:M10 K12:M12" name="Range1_2_1_1"/>
  </protectedRanges>
  <mergeCells count="9">
    <mergeCell ref="A1:G1"/>
    <mergeCell ref="J3:N3"/>
    <mergeCell ref="J14:M14"/>
    <mergeCell ref="H2:H3"/>
    <mergeCell ref="A32:F32"/>
    <mergeCell ref="G2:G32"/>
    <mergeCell ref="A31:E31"/>
    <mergeCell ref="A3:F3"/>
    <mergeCell ref="A30:F30"/>
  </mergeCells>
  <printOptions gridLines="1"/>
  <pageMargins left="0.75" right="0.75" top="1" bottom="1" header="0.5" footer="0.5"/>
  <pageSetup blackAndWhite="1" fitToHeight="1" fitToWidth="1" horizontalDpi="300" verticalDpi="300" orientation="portrait" scale="85" r:id="rId1"/>
</worksheet>
</file>

<file path=xl/worksheets/sheet21.xml><?xml version="1.0" encoding="utf-8"?>
<worksheet xmlns="http://schemas.openxmlformats.org/spreadsheetml/2006/main" xmlns:r="http://schemas.openxmlformats.org/officeDocument/2006/relationships">
  <sheetPr>
    <tabColor rgb="FF002060"/>
  </sheetPr>
  <dimension ref="A1:N26"/>
  <sheetViews>
    <sheetView zoomScalePageLayoutView="0" workbookViewId="0" topLeftCell="A1">
      <pane ySplit="3" topLeftCell="A4" activePane="bottomLeft" state="frozen"/>
      <selection pane="topLeft" activeCell="I39" sqref="I39"/>
      <selection pane="bottomLeft" activeCell="H12" sqref="H12"/>
    </sheetView>
  </sheetViews>
  <sheetFormatPr defaultColWidth="9.140625" defaultRowHeight="12.75"/>
  <cols>
    <col min="1" max="1" width="23.00390625" style="0" customWidth="1"/>
    <col min="2" max="2" width="9.7109375" style="0" customWidth="1"/>
    <col min="3" max="3" width="14.28125" style="0" customWidth="1"/>
    <col min="4" max="4" width="13.57421875" style="0" customWidth="1"/>
    <col min="5" max="5" width="12.28125" style="0" customWidth="1"/>
    <col min="6" max="6" width="18.00390625" style="0" customWidth="1"/>
    <col min="7" max="7" width="2.421875" style="0" customWidth="1"/>
    <col min="8" max="8" width="21.8515625" style="0" customWidth="1"/>
    <col min="10" max="10" width="23.28125" style="0" customWidth="1"/>
    <col min="13" max="13" width="13.7109375" style="0" customWidth="1"/>
    <col min="14" max="14" width="10.7109375" style="0" customWidth="1"/>
  </cols>
  <sheetData>
    <row r="1" spans="1:14" ht="15.75">
      <c r="A1" s="325" t="s">
        <v>424</v>
      </c>
      <c r="B1" s="325"/>
      <c r="C1" s="325"/>
      <c r="D1" s="325"/>
      <c r="E1" s="325"/>
      <c r="F1" s="325"/>
      <c r="G1" s="325"/>
      <c r="J1" s="207"/>
      <c r="K1" s="208"/>
      <c r="L1" s="208"/>
      <c r="M1" s="208"/>
      <c r="N1" s="208"/>
    </row>
    <row r="2" spans="1:14" ht="20.25" customHeight="1">
      <c r="A2" s="105" t="s">
        <v>394</v>
      </c>
      <c r="B2" s="61" t="s">
        <v>29</v>
      </c>
      <c r="C2" s="61" t="s">
        <v>152</v>
      </c>
      <c r="D2" s="61" t="s">
        <v>30</v>
      </c>
      <c r="E2" s="61" t="s">
        <v>33</v>
      </c>
      <c r="F2" s="61" t="s">
        <v>105</v>
      </c>
      <c r="G2" s="288"/>
      <c r="H2" s="318" t="s">
        <v>167</v>
      </c>
      <c r="J2" s="209"/>
      <c r="K2" s="209"/>
      <c r="L2" s="209"/>
      <c r="M2" s="209"/>
      <c r="N2" s="210"/>
    </row>
    <row r="3" spans="1:14" ht="12" customHeight="1">
      <c r="A3" s="409"/>
      <c r="B3" s="290"/>
      <c r="C3" s="290"/>
      <c r="D3" s="290"/>
      <c r="E3" s="290"/>
      <c r="F3" s="413"/>
      <c r="G3" s="288"/>
      <c r="H3" s="318"/>
      <c r="J3" s="403"/>
      <c r="K3" s="403"/>
      <c r="L3" s="403"/>
      <c r="M3" s="403"/>
      <c r="N3" s="403"/>
    </row>
    <row r="4" spans="1:14" ht="12.75" customHeight="1">
      <c r="A4" s="21" t="s">
        <v>327</v>
      </c>
      <c r="B4" s="28" t="s">
        <v>142</v>
      </c>
      <c r="C4" s="144">
        <v>300</v>
      </c>
      <c r="D4" s="29">
        <v>4.19</v>
      </c>
      <c r="E4" s="28">
        <v>0.444</v>
      </c>
      <c r="F4" s="7">
        <f aca="true" t="shared" si="0" ref="F4:F16">(C4*D4)*E4</f>
        <v>558.1080000000001</v>
      </c>
      <c r="G4" s="288"/>
      <c r="H4" s="296" t="s">
        <v>168</v>
      </c>
      <c r="J4" s="166"/>
      <c r="K4" s="167"/>
      <c r="L4" s="167"/>
      <c r="M4" s="168"/>
      <c r="N4" s="169"/>
    </row>
    <row r="5" spans="1:14" ht="12.75" customHeight="1">
      <c r="A5" s="21" t="s">
        <v>302</v>
      </c>
      <c r="B5" s="28" t="s">
        <v>142</v>
      </c>
      <c r="C5" s="79">
        <v>350</v>
      </c>
      <c r="D5" s="29">
        <v>6.5</v>
      </c>
      <c r="E5" s="28"/>
      <c r="F5" s="7">
        <f t="shared" si="0"/>
        <v>0</v>
      </c>
      <c r="G5" s="288"/>
      <c r="H5" s="296"/>
      <c r="J5" s="411"/>
      <c r="K5" s="411"/>
      <c r="L5" s="411"/>
      <c r="M5" s="411"/>
      <c r="N5" s="411"/>
    </row>
    <row r="6" spans="1:14" ht="12.75">
      <c r="A6" s="21"/>
      <c r="B6" s="28"/>
      <c r="C6" s="29"/>
      <c r="D6" s="29"/>
      <c r="E6" s="28"/>
      <c r="F6" s="7">
        <f t="shared" si="0"/>
        <v>0</v>
      </c>
      <c r="G6" s="288"/>
      <c r="H6" s="296"/>
      <c r="J6" s="412"/>
      <c r="K6" s="412"/>
      <c r="L6" s="412"/>
      <c r="M6" s="412"/>
      <c r="N6" s="214"/>
    </row>
    <row r="7" spans="1:14" ht="12.75">
      <c r="A7" s="21"/>
      <c r="B7" s="28"/>
      <c r="C7" s="29"/>
      <c r="D7" s="29"/>
      <c r="E7" s="28"/>
      <c r="F7" s="7">
        <f t="shared" si="0"/>
        <v>0</v>
      </c>
      <c r="G7" s="288"/>
      <c r="J7" s="208"/>
      <c r="K7" s="208"/>
      <c r="L7" s="208"/>
      <c r="M7" s="208"/>
      <c r="N7" s="208"/>
    </row>
    <row r="8" spans="1:7" ht="12.75">
      <c r="A8" s="21"/>
      <c r="B8" s="28"/>
      <c r="C8" s="29"/>
      <c r="D8" s="29"/>
      <c r="E8" s="28"/>
      <c r="F8" s="7">
        <f t="shared" si="0"/>
        <v>0</v>
      </c>
      <c r="G8" s="288"/>
    </row>
    <row r="9" spans="1:7" ht="12.75">
      <c r="A9" s="21"/>
      <c r="B9" s="21"/>
      <c r="C9" s="29"/>
      <c r="D9" s="29"/>
      <c r="E9" s="28"/>
      <c r="F9" s="7">
        <f t="shared" si="0"/>
        <v>0</v>
      </c>
      <c r="G9" s="288"/>
    </row>
    <row r="10" spans="1:7" ht="12.75">
      <c r="A10" s="21"/>
      <c r="B10" s="21"/>
      <c r="C10" s="29"/>
      <c r="D10" s="29"/>
      <c r="E10" s="28"/>
      <c r="F10" s="7">
        <f t="shared" si="0"/>
        <v>0</v>
      </c>
      <c r="G10" s="288"/>
    </row>
    <row r="11" spans="1:7" ht="12.75">
      <c r="A11" s="21"/>
      <c r="B11" s="21"/>
      <c r="C11" s="29"/>
      <c r="D11" s="29"/>
      <c r="E11" s="28"/>
      <c r="F11" s="7">
        <f t="shared" si="0"/>
        <v>0</v>
      </c>
      <c r="G11" s="288"/>
    </row>
    <row r="12" spans="1:7" ht="12.75">
      <c r="A12" s="21"/>
      <c r="B12" s="21"/>
      <c r="C12" s="29"/>
      <c r="D12" s="29"/>
      <c r="E12" s="28"/>
      <c r="F12" s="7">
        <f t="shared" si="0"/>
        <v>0</v>
      </c>
      <c r="G12" s="288"/>
    </row>
    <row r="13" spans="1:7" ht="12.75">
      <c r="A13" s="21"/>
      <c r="B13" s="21"/>
      <c r="C13" s="29"/>
      <c r="D13" s="29"/>
      <c r="E13" s="28"/>
      <c r="F13" s="7">
        <f t="shared" si="0"/>
        <v>0</v>
      </c>
      <c r="G13" s="288"/>
    </row>
    <row r="14" spans="1:7" ht="12.75">
      <c r="A14" s="21"/>
      <c r="B14" s="21"/>
      <c r="C14" s="29"/>
      <c r="D14" s="29"/>
      <c r="E14" s="28"/>
      <c r="F14" s="7">
        <f t="shared" si="0"/>
        <v>0</v>
      </c>
      <c r="G14" s="288"/>
    </row>
    <row r="15" spans="1:7" ht="12.75">
      <c r="A15" s="21"/>
      <c r="B15" s="21"/>
      <c r="C15" s="29"/>
      <c r="D15" s="29"/>
      <c r="E15" s="28"/>
      <c r="F15" s="7">
        <f t="shared" si="0"/>
        <v>0</v>
      </c>
      <c r="G15" s="288"/>
    </row>
    <row r="16" spans="1:7" ht="12.75">
      <c r="A16" s="21"/>
      <c r="B16" s="21"/>
      <c r="C16" s="21"/>
      <c r="D16" s="29"/>
      <c r="E16" s="28"/>
      <c r="F16" s="7">
        <f t="shared" si="0"/>
        <v>0</v>
      </c>
      <c r="G16" s="288"/>
    </row>
    <row r="17" spans="1:7" ht="12.75">
      <c r="A17" s="277"/>
      <c r="B17" s="277"/>
      <c r="C17" s="277"/>
      <c r="D17" s="277"/>
      <c r="E17" s="277"/>
      <c r="F17" s="277"/>
      <c r="G17" s="288"/>
    </row>
    <row r="18" spans="1:7" ht="20.25" customHeight="1">
      <c r="A18" s="389" t="s">
        <v>16</v>
      </c>
      <c r="B18" s="390"/>
      <c r="C18" s="390"/>
      <c r="D18" s="390"/>
      <c r="E18" s="391"/>
      <c r="F18" s="47">
        <f>SUM(F4:F16)</f>
        <v>558.1080000000001</v>
      </c>
      <c r="G18" s="288"/>
    </row>
    <row r="19" spans="1:7" ht="12.75">
      <c r="A19" s="290"/>
      <c r="B19" s="290"/>
      <c r="C19" s="290"/>
      <c r="D19" s="290"/>
      <c r="E19" s="290"/>
      <c r="F19" s="290"/>
      <c r="G19" s="289"/>
    </row>
    <row r="21" spans="1:6" ht="15">
      <c r="A21" s="36" t="s">
        <v>302</v>
      </c>
      <c r="B21" s="61" t="s">
        <v>142</v>
      </c>
      <c r="C21" s="61">
        <v>350</v>
      </c>
      <c r="D21" s="141">
        <v>6.5</v>
      </c>
      <c r="E21" s="141"/>
      <c r="F21" s="73">
        <f>C21*D21</f>
        <v>2275</v>
      </c>
    </row>
    <row r="23" spans="5:11" ht="12.75">
      <c r="E23" s="165"/>
      <c r="F23" s="165"/>
      <c r="G23" s="165"/>
      <c r="H23" s="165"/>
      <c r="I23" s="165"/>
      <c r="J23" s="165"/>
      <c r="K23" s="165"/>
    </row>
    <row r="24" spans="5:11" ht="15">
      <c r="E24" s="165"/>
      <c r="F24" s="166"/>
      <c r="G24" s="167"/>
      <c r="H24" s="167"/>
      <c r="I24" s="168"/>
      <c r="J24" s="169"/>
      <c r="K24" s="165"/>
    </row>
    <row r="25" spans="5:11" ht="12.75">
      <c r="E25" s="165"/>
      <c r="F25" s="165"/>
      <c r="G25" s="165"/>
      <c r="H25" s="165"/>
      <c r="I25" s="165"/>
      <c r="J25" s="165"/>
      <c r="K25" s="165"/>
    </row>
    <row r="26" spans="5:11" ht="12.75">
      <c r="E26" s="165"/>
      <c r="F26" s="165"/>
      <c r="G26" s="165"/>
      <c r="H26" s="165"/>
      <c r="I26" s="165"/>
      <c r="J26" s="165"/>
      <c r="K26" s="165"/>
    </row>
  </sheetData>
  <sheetProtection sheet="1"/>
  <mergeCells count="11">
    <mergeCell ref="A3:F3"/>
    <mergeCell ref="G2:G19"/>
    <mergeCell ref="A19:F19"/>
    <mergeCell ref="A18:E18"/>
    <mergeCell ref="H4:H6"/>
    <mergeCell ref="A1:G1"/>
    <mergeCell ref="J3:N3"/>
    <mergeCell ref="J5:N5"/>
    <mergeCell ref="J6:M6"/>
    <mergeCell ref="A17:F17"/>
    <mergeCell ref="H2:H3"/>
  </mergeCells>
  <printOptions gridLines="1" verticalCentered="1"/>
  <pageMargins left="0" right="0" top="0" bottom="0" header="0" footer="0"/>
  <pageSetup blackAndWhite="1" horizontalDpi="300" verticalDpi="300" orientation="landscape" r:id="rId1"/>
</worksheet>
</file>

<file path=xl/worksheets/sheet22.xml><?xml version="1.0" encoding="utf-8"?>
<worksheet xmlns="http://schemas.openxmlformats.org/spreadsheetml/2006/main" xmlns:r="http://schemas.openxmlformats.org/officeDocument/2006/relationships">
  <sheetPr>
    <tabColor rgb="FF002060"/>
  </sheetPr>
  <dimension ref="A1:Q138"/>
  <sheetViews>
    <sheetView zoomScalePageLayoutView="0" workbookViewId="0" topLeftCell="A1">
      <pane ySplit="5" topLeftCell="A6" activePane="bottomLeft" state="frozen"/>
      <selection pane="topLeft" activeCell="I39" sqref="I39"/>
      <selection pane="bottomLeft" activeCell="E6" sqref="E6"/>
    </sheetView>
  </sheetViews>
  <sheetFormatPr defaultColWidth="9.140625" defaultRowHeight="12.75"/>
  <cols>
    <col min="1" max="1" width="31.57421875" style="0" customWidth="1"/>
    <col min="2" max="2" width="9.57421875" style="0" customWidth="1"/>
    <col min="3" max="3" width="10.28125" style="0" customWidth="1"/>
    <col min="4" max="4" width="10.140625" style="60" customWidth="1"/>
    <col min="5" max="5" width="11.7109375" style="0" customWidth="1"/>
    <col min="6" max="6" width="6.57421875" style="0" customWidth="1"/>
    <col min="7" max="9" width="9.140625" style="147" customWidth="1"/>
    <col min="10" max="10" width="20.8515625" style="0" customWidth="1"/>
  </cols>
  <sheetData>
    <row r="1" spans="1:17" s="120" customFormat="1" ht="15.75" customHeight="1">
      <c r="A1" s="118" t="s">
        <v>304</v>
      </c>
      <c r="B1" s="414" t="s">
        <v>404</v>
      </c>
      <c r="C1" s="414"/>
      <c r="D1" s="414"/>
      <c r="E1" s="414"/>
      <c r="F1" s="414"/>
      <c r="G1" s="147"/>
      <c r="H1" s="149"/>
      <c r="I1" s="153"/>
      <c r="J1" s="148"/>
      <c r="K1" s="150"/>
      <c r="L1" s="177"/>
      <c r="M1" s="177"/>
      <c r="N1" s="178"/>
      <c r="O1" s="179"/>
      <c r="P1" s="178"/>
      <c r="Q1" s="178"/>
    </row>
    <row r="2" spans="1:6" ht="12" customHeight="1">
      <c r="A2" s="417"/>
      <c r="B2" s="418"/>
      <c r="C2" s="418"/>
      <c r="D2" s="418"/>
      <c r="E2" s="419"/>
      <c r="F2" s="416"/>
    </row>
    <row r="3" spans="1:6" ht="15" customHeight="1">
      <c r="A3" s="420" t="s">
        <v>170</v>
      </c>
      <c r="B3" s="422" t="s">
        <v>171</v>
      </c>
      <c r="C3" s="423"/>
      <c r="D3" s="425" t="s">
        <v>172</v>
      </c>
      <c r="E3" s="425" t="s">
        <v>173</v>
      </c>
      <c r="F3" s="416"/>
    </row>
    <row r="4" spans="1:9" ht="30" customHeight="1">
      <c r="A4" s="421"/>
      <c r="B4" s="112" t="s">
        <v>174</v>
      </c>
      <c r="C4" s="112" t="s">
        <v>175</v>
      </c>
      <c r="D4" s="426"/>
      <c r="E4" s="426"/>
      <c r="F4" s="416"/>
      <c r="G4" s="415"/>
      <c r="H4" s="415"/>
      <c r="I4" s="415"/>
    </row>
    <row r="5" spans="1:9" ht="12.75" customHeight="1">
      <c r="A5" s="427"/>
      <c r="B5" s="428"/>
      <c r="C5" s="428"/>
      <c r="D5" s="428"/>
      <c r="E5" s="429"/>
      <c r="F5" s="416"/>
      <c r="G5" s="148"/>
      <c r="H5" s="148"/>
      <c r="I5" s="148"/>
    </row>
    <row r="6" spans="1:6" ht="12.75" customHeight="1">
      <c r="A6" s="9" t="s">
        <v>176</v>
      </c>
      <c r="B6" s="113">
        <v>30.76</v>
      </c>
      <c r="C6" s="113">
        <v>0.62</v>
      </c>
      <c r="D6" s="99">
        <v>1</v>
      </c>
      <c r="E6" s="98">
        <f aca="true" t="shared" si="0" ref="E6:E37">SUM(B6,C6)*D6</f>
        <v>31.380000000000003</v>
      </c>
      <c r="F6" s="416"/>
    </row>
    <row r="7" spans="1:6" ht="12.75" customHeight="1">
      <c r="A7" s="9" t="s">
        <v>177</v>
      </c>
      <c r="B7" s="7">
        <v>0.92</v>
      </c>
      <c r="C7" s="7">
        <v>1.71</v>
      </c>
      <c r="D7" s="99">
        <v>1</v>
      </c>
      <c r="E7" s="98">
        <f t="shared" si="0"/>
        <v>2.63</v>
      </c>
      <c r="F7" s="416"/>
    </row>
    <row r="8" spans="1:6" ht="12.75" customHeight="1">
      <c r="A8" s="9" t="s">
        <v>178</v>
      </c>
      <c r="B8" s="7">
        <v>1.85</v>
      </c>
      <c r="C8" s="7">
        <v>3.41</v>
      </c>
      <c r="D8" s="99">
        <v>1</v>
      </c>
      <c r="E8" s="98">
        <f t="shared" si="0"/>
        <v>5.26</v>
      </c>
      <c r="F8" s="416"/>
    </row>
    <row r="9" spans="1:6" ht="12.75" customHeight="1">
      <c r="A9" s="9" t="s">
        <v>179</v>
      </c>
      <c r="B9" s="7">
        <v>4.62</v>
      </c>
      <c r="C9" s="7">
        <v>8.53</v>
      </c>
      <c r="D9" s="99">
        <v>1</v>
      </c>
      <c r="E9" s="98">
        <f t="shared" si="0"/>
        <v>13.149999999999999</v>
      </c>
      <c r="F9" s="416"/>
    </row>
    <row r="10" spans="1:6" ht="12.75" customHeight="1">
      <c r="A10" s="9" t="s">
        <v>180</v>
      </c>
      <c r="B10" s="7">
        <v>4.37</v>
      </c>
      <c r="C10" s="7">
        <v>14.49</v>
      </c>
      <c r="D10" s="99">
        <v>1</v>
      </c>
      <c r="E10" s="98">
        <f t="shared" si="0"/>
        <v>18.86</v>
      </c>
      <c r="F10" s="416"/>
    </row>
    <row r="11" spans="1:6" ht="12.75" customHeight="1">
      <c r="A11" s="9" t="s">
        <v>181</v>
      </c>
      <c r="B11" s="7">
        <v>0.58</v>
      </c>
      <c r="C11" s="7">
        <v>1.92</v>
      </c>
      <c r="D11" s="99">
        <v>1</v>
      </c>
      <c r="E11" s="98">
        <f t="shared" si="0"/>
        <v>2.5</v>
      </c>
      <c r="F11" s="416"/>
    </row>
    <row r="12" spans="1:6" ht="12.75" customHeight="1">
      <c r="A12" s="9" t="s">
        <v>182</v>
      </c>
      <c r="B12" s="7">
        <v>0.9</v>
      </c>
      <c r="C12" s="7">
        <v>2.98</v>
      </c>
      <c r="D12" s="99">
        <v>1</v>
      </c>
      <c r="E12" s="98">
        <f t="shared" si="0"/>
        <v>3.88</v>
      </c>
      <c r="F12" s="416"/>
    </row>
    <row r="13" spans="1:6" ht="12.75" customHeight="1">
      <c r="A13" s="9" t="s">
        <v>183</v>
      </c>
      <c r="B13" s="7">
        <v>0.9</v>
      </c>
      <c r="C13" s="7">
        <v>2.98</v>
      </c>
      <c r="D13" s="99">
        <v>1</v>
      </c>
      <c r="E13" s="98">
        <f t="shared" si="0"/>
        <v>3.88</v>
      </c>
      <c r="F13" s="416"/>
    </row>
    <row r="14" spans="1:6" ht="12.75" customHeight="1">
      <c r="A14" s="9" t="s">
        <v>184</v>
      </c>
      <c r="B14" s="7">
        <v>0.58</v>
      </c>
      <c r="C14" s="7">
        <v>1.92</v>
      </c>
      <c r="D14" s="99">
        <v>1</v>
      </c>
      <c r="E14" s="98">
        <f t="shared" si="0"/>
        <v>2.5</v>
      </c>
      <c r="F14" s="416"/>
    </row>
    <row r="15" spans="1:6" ht="12.75" customHeight="1">
      <c r="A15" s="9" t="s">
        <v>185</v>
      </c>
      <c r="B15" s="7">
        <v>0.77</v>
      </c>
      <c r="C15" s="7">
        <v>2.56</v>
      </c>
      <c r="D15" s="99">
        <v>1</v>
      </c>
      <c r="E15" s="98">
        <f t="shared" si="0"/>
        <v>3.33</v>
      </c>
      <c r="F15" s="416"/>
    </row>
    <row r="16" spans="1:6" ht="12.75" customHeight="1">
      <c r="A16" s="9" t="s">
        <v>186</v>
      </c>
      <c r="B16" s="7">
        <v>0.77</v>
      </c>
      <c r="C16" s="7">
        <v>2.56</v>
      </c>
      <c r="D16" s="99">
        <v>1</v>
      </c>
      <c r="E16" s="98">
        <f t="shared" si="0"/>
        <v>3.33</v>
      </c>
      <c r="F16" s="416"/>
    </row>
    <row r="17" spans="1:6" ht="12.75" customHeight="1">
      <c r="A17" s="9" t="s">
        <v>187</v>
      </c>
      <c r="B17" s="7">
        <v>0.83</v>
      </c>
      <c r="C17" s="7">
        <v>2.77</v>
      </c>
      <c r="D17" s="99">
        <v>1</v>
      </c>
      <c r="E17" s="98">
        <f t="shared" si="0"/>
        <v>3.6</v>
      </c>
      <c r="F17" s="416"/>
    </row>
    <row r="18" spans="1:6" ht="12.75" customHeight="1">
      <c r="A18" s="9" t="s">
        <v>188</v>
      </c>
      <c r="B18" s="7">
        <v>0.96</v>
      </c>
      <c r="C18" s="7">
        <v>3.2</v>
      </c>
      <c r="D18" s="99">
        <v>1</v>
      </c>
      <c r="E18" s="98">
        <f t="shared" si="0"/>
        <v>4.16</v>
      </c>
      <c r="F18" s="416"/>
    </row>
    <row r="19" spans="1:6" ht="12.75" customHeight="1">
      <c r="A19" s="9" t="s">
        <v>189</v>
      </c>
      <c r="B19" s="7">
        <v>0.96</v>
      </c>
      <c r="C19" s="7">
        <v>3.2</v>
      </c>
      <c r="D19" s="99">
        <v>1</v>
      </c>
      <c r="E19" s="98">
        <f t="shared" si="0"/>
        <v>4.16</v>
      </c>
      <c r="F19" s="416"/>
    </row>
    <row r="20" spans="1:6" ht="12.75" customHeight="1">
      <c r="A20" s="9" t="s">
        <v>190</v>
      </c>
      <c r="B20" s="7">
        <v>1.03</v>
      </c>
      <c r="C20" s="7">
        <v>3.41</v>
      </c>
      <c r="D20" s="99">
        <v>1</v>
      </c>
      <c r="E20" s="98">
        <f t="shared" si="0"/>
        <v>4.44</v>
      </c>
      <c r="F20" s="416"/>
    </row>
    <row r="21" spans="1:6" ht="12.75" customHeight="1">
      <c r="A21" s="9" t="s">
        <v>191</v>
      </c>
      <c r="B21" s="7">
        <v>1.54</v>
      </c>
      <c r="C21" s="7">
        <v>5.12</v>
      </c>
      <c r="D21" s="99">
        <v>1</v>
      </c>
      <c r="E21" s="98">
        <f t="shared" si="0"/>
        <v>6.66</v>
      </c>
      <c r="F21" s="416"/>
    </row>
    <row r="22" spans="1:6" ht="12.75" customHeight="1">
      <c r="A22" s="9" t="s">
        <v>192</v>
      </c>
      <c r="B22" s="7">
        <v>2.43</v>
      </c>
      <c r="C22" s="7">
        <v>8.06</v>
      </c>
      <c r="D22" s="99">
        <v>1</v>
      </c>
      <c r="E22" s="98">
        <f t="shared" si="0"/>
        <v>10.49</v>
      </c>
      <c r="F22" s="416"/>
    </row>
    <row r="23" spans="1:6" ht="12.75" customHeight="1">
      <c r="A23" s="9" t="s">
        <v>193</v>
      </c>
      <c r="B23" s="7">
        <v>2.43</v>
      </c>
      <c r="C23" s="7">
        <v>8.06</v>
      </c>
      <c r="D23" s="99">
        <v>1</v>
      </c>
      <c r="E23" s="98">
        <f t="shared" si="0"/>
        <v>10.49</v>
      </c>
      <c r="F23" s="416"/>
    </row>
    <row r="24" spans="1:6" ht="12.75" customHeight="1">
      <c r="A24" s="9" t="s">
        <v>194</v>
      </c>
      <c r="B24" s="7">
        <v>1.22</v>
      </c>
      <c r="C24" s="7">
        <v>4.05</v>
      </c>
      <c r="D24" s="99">
        <v>1</v>
      </c>
      <c r="E24" s="98">
        <f t="shared" si="0"/>
        <v>5.27</v>
      </c>
      <c r="F24" s="416"/>
    </row>
    <row r="25" spans="1:6" ht="12.75" customHeight="1">
      <c r="A25" s="9" t="s">
        <v>195</v>
      </c>
      <c r="B25" s="7">
        <v>0.58</v>
      </c>
      <c r="C25" s="7">
        <v>1.92</v>
      </c>
      <c r="D25" s="99">
        <v>1</v>
      </c>
      <c r="E25" s="98">
        <f t="shared" si="0"/>
        <v>2.5</v>
      </c>
      <c r="F25" s="416"/>
    </row>
    <row r="26" spans="1:6" ht="12.75" customHeight="1">
      <c r="A26" s="9" t="s">
        <v>196</v>
      </c>
      <c r="B26" s="7">
        <v>0.26</v>
      </c>
      <c r="C26" s="7">
        <v>0.85</v>
      </c>
      <c r="D26" s="99">
        <v>1</v>
      </c>
      <c r="E26" s="98">
        <f t="shared" si="0"/>
        <v>1.1099999999999999</v>
      </c>
      <c r="F26" s="416"/>
    </row>
    <row r="27" spans="1:6" ht="12.75" customHeight="1">
      <c r="A27" s="9" t="s">
        <v>197</v>
      </c>
      <c r="B27" s="7">
        <v>4.73</v>
      </c>
      <c r="C27" s="7">
        <v>10.3</v>
      </c>
      <c r="D27" s="99">
        <v>1</v>
      </c>
      <c r="E27" s="98">
        <f t="shared" si="0"/>
        <v>15.030000000000001</v>
      </c>
      <c r="F27" s="416"/>
    </row>
    <row r="28" spans="1:6" ht="12.75" customHeight="1">
      <c r="A28" s="9" t="s">
        <v>198</v>
      </c>
      <c r="B28" s="7">
        <v>9.1</v>
      </c>
      <c r="C28" s="7">
        <v>7.08</v>
      </c>
      <c r="D28" s="99">
        <v>1</v>
      </c>
      <c r="E28" s="98">
        <f t="shared" si="0"/>
        <v>16.18</v>
      </c>
      <c r="F28" s="416"/>
    </row>
    <row r="29" spans="1:6" ht="12.75" customHeight="1">
      <c r="A29" s="9" t="s">
        <v>199</v>
      </c>
      <c r="B29" s="7">
        <v>7.9</v>
      </c>
      <c r="C29" s="7">
        <v>6.14</v>
      </c>
      <c r="D29" s="99">
        <v>1</v>
      </c>
      <c r="E29" s="98">
        <f t="shared" si="0"/>
        <v>14.04</v>
      </c>
      <c r="F29" s="416"/>
    </row>
    <row r="30" spans="1:6" ht="12.75" customHeight="1">
      <c r="A30" s="9" t="s">
        <v>200</v>
      </c>
      <c r="B30" s="7">
        <v>11.51</v>
      </c>
      <c r="C30" s="7">
        <v>8.95</v>
      </c>
      <c r="D30" s="99">
        <v>1</v>
      </c>
      <c r="E30" s="98">
        <f t="shared" si="0"/>
        <v>20.46</v>
      </c>
      <c r="F30" s="416"/>
    </row>
    <row r="31" spans="1:6" ht="12.75" customHeight="1">
      <c r="A31" s="9" t="s">
        <v>201</v>
      </c>
      <c r="B31" s="7">
        <v>1.51</v>
      </c>
      <c r="C31" s="7">
        <v>1.71</v>
      </c>
      <c r="D31" s="99">
        <v>1</v>
      </c>
      <c r="E31" s="98">
        <f t="shared" si="0"/>
        <v>3.2199999999999998</v>
      </c>
      <c r="F31" s="416"/>
    </row>
    <row r="32" spans="1:6" ht="12.75" customHeight="1">
      <c r="A32" s="9" t="s">
        <v>202</v>
      </c>
      <c r="B32" s="7">
        <v>45.77</v>
      </c>
      <c r="C32" s="7">
        <v>54.72</v>
      </c>
      <c r="D32" s="99">
        <v>1</v>
      </c>
      <c r="E32" s="98">
        <f t="shared" si="0"/>
        <v>100.49000000000001</v>
      </c>
      <c r="F32" s="416"/>
    </row>
    <row r="33" spans="1:6" ht="12.75" customHeight="1">
      <c r="A33" s="9" t="s">
        <v>203</v>
      </c>
      <c r="B33" s="7">
        <v>33.65</v>
      </c>
      <c r="C33" s="7">
        <v>16.42</v>
      </c>
      <c r="D33" s="99">
        <v>1</v>
      </c>
      <c r="E33" s="98">
        <f t="shared" si="0"/>
        <v>50.07</v>
      </c>
      <c r="F33" s="416"/>
    </row>
    <row r="34" spans="1:6" ht="12.75" customHeight="1">
      <c r="A34" s="9" t="s">
        <v>204</v>
      </c>
      <c r="B34" s="7">
        <v>1.95</v>
      </c>
      <c r="C34" s="7">
        <v>2.56</v>
      </c>
      <c r="D34" s="99">
        <v>1</v>
      </c>
      <c r="E34" s="98">
        <f t="shared" si="0"/>
        <v>4.51</v>
      </c>
      <c r="F34" s="416"/>
    </row>
    <row r="35" spans="1:6" ht="12.75" customHeight="1">
      <c r="A35" s="9" t="s">
        <v>205</v>
      </c>
      <c r="B35" s="7">
        <v>2.59</v>
      </c>
      <c r="C35" s="7">
        <v>3.41</v>
      </c>
      <c r="D35" s="99">
        <v>1</v>
      </c>
      <c r="E35" s="98">
        <f t="shared" si="0"/>
        <v>6</v>
      </c>
      <c r="F35" s="416"/>
    </row>
    <row r="36" spans="1:6" ht="12.75" customHeight="1">
      <c r="A36" s="9" t="s">
        <v>118</v>
      </c>
      <c r="B36" s="7">
        <v>2.59</v>
      </c>
      <c r="C36" s="7">
        <v>3.41</v>
      </c>
      <c r="D36" s="99">
        <v>1</v>
      </c>
      <c r="E36" s="98">
        <f t="shared" si="0"/>
        <v>6</v>
      </c>
      <c r="F36" s="416"/>
    </row>
    <row r="37" spans="1:6" ht="12.75" customHeight="1">
      <c r="A37" s="9" t="s">
        <v>206</v>
      </c>
      <c r="B37" s="7">
        <v>1.56</v>
      </c>
      <c r="C37" s="7">
        <v>2.05</v>
      </c>
      <c r="D37" s="99">
        <v>1</v>
      </c>
      <c r="E37" s="98">
        <f t="shared" si="0"/>
        <v>3.61</v>
      </c>
      <c r="F37" s="416"/>
    </row>
    <row r="38" spans="1:6" ht="12.75" customHeight="1">
      <c r="A38" s="9" t="s">
        <v>207</v>
      </c>
      <c r="B38" s="7">
        <v>1.17</v>
      </c>
      <c r="C38" s="7">
        <v>1.53</v>
      </c>
      <c r="D38" s="99">
        <v>1</v>
      </c>
      <c r="E38" s="98">
        <f aca="true" t="shared" si="1" ref="E38:E69">SUM(B38,C38)*D38</f>
        <v>2.7</v>
      </c>
      <c r="F38" s="416"/>
    </row>
    <row r="39" spans="1:6" ht="12.75" customHeight="1">
      <c r="A39" s="9" t="s">
        <v>208</v>
      </c>
      <c r="B39" s="7">
        <v>2.79</v>
      </c>
      <c r="C39" s="7">
        <v>3.67</v>
      </c>
      <c r="D39" s="99">
        <v>1</v>
      </c>
      <c r="E39" s="98">
        <f t="shared" si="1"/>
        <v>6.46</v>
      </c>
      <c r="F39" s="416"/>
    </row>
    <row r="40" spans="1:6" ht="12.75" customHeight="1">
      <c r="A40" s="9" t="s">
        <v>209</v>
      </c>
      <c r="B40" s="7">
        <v>0.71</v>
      </c>
      <c r="C40" s="7">
        <v>0.94</v>
      </c>
      <c r="D40" s="99">
        <v>1</v>
      </c>
      <c r="E40" s="98">
        <f t="shared" si="1"/>
        <v>1.65</v>
      </c>
      <c r="F40" s="416"/>
    </row>
    <row r="41" spans="1:6" ht="12.75" customHeight="1">
      <c r="A41" s="9" t="s">
        <v>210</v>
      </c>
      <c r="B41" s="7">
        <v>3.28</v>
      </c>
      <c r="C41" s="7">
        <v>4.26</v>
      </c>
      <c r="D41" s="99">
        <v>1</v>
      </c>
      <c r="E41" s="98">
        <f t="shared" si="1"/>
        <v>7.539999999999999</v>
      </c>
      <c r="F41" s="416"/>
    </row>
    <row r="42" spans="1:6" ht="12.75" customHeight="1">
      <c r="A42" s="9" t="s">
        <v>211</v>
      </c>
      <c r="B42" s="7">
        <v>1.31</v>
      </c>
      <c r="C42" s="7">
        <v>1.71</v>
      </c>
      <c r="D42" s="99">
        <v>1</v>
      </c>
      <c r="E42" s="98">
        <f t="shared" si="1"/>
        <v>3.02</v>
      </c>
      <c r="F42" s="416"/>
    </row>
    <row r="43" spans="1:6" ht="12.75" customHeight="1">
      <c r="A43" s="9" t="s">
        <v>212</v>
      </c>
      <c r="B43" s="7">
        <v>20.89</v>
      </c>
      <c r="C43" s="7">
        <v>6.46</v>
      </c>
      <c r="D43" s="99">
        <v>1</v>
      </c>
      <c r="E43" s="98">
        <f t="shared" si="1"/>
        <v>27.35</v>
      </c>
      <c r="F43" s="416"/>
    </row>
    <row r="44" spans="1:6" ht="12.75" customHeight="1">
      <c r="A44" s="9" t="s">
        <v>213</v>
      </c>
      <c r="B44" s="7">
        <v>10.81</v>
      </c>
      <c r="C44" s="7">
        <v>7.12</v>
      </c>
      <c r="D44" s="99">
        <v>1</v>
      </c>
      <c r="E44" s="98">
        <f t="shared" si="1"/>
        <v>17.93</v>
      </c>
      <c r="F44" s="416"/>
    </row>
    <row r="45" spans="1:6" ht="12.75" customHeight="1">
      <c r="A45" s="9" t="s">
        <v>214</v>
      </c>
      <c r="B45" s="7">
        <v>10.81</v>
      </c>
      <c r="C45" s="7">
        <v>7.12</v>
      </c>
      <c r="D45" s="99">
        <v>1</v>
      </c>
      <c r="E45" s="98">
        <f t="shared" si="1"/>
        <v>17.93</v>
      </c>
      <c r="F45" s="416"/>
    </row>
    <row r="46" spans="1:6" ht="12.75" customHeight="1">
      <c r="A46" s="9" t="s">
        <v>215</v>
      </c>
      <c r="B46" s="7">
        <v>4.54</v>
      </c>
      <c r="C46" s="7">
        <v>9.55</v>
      </c>
      <c r="D46" s="99">
        <v>1</v>
      </c>
      <c r="E46" s="98">
        <f t="shared" si="1"/>
        <v>14.09</v>
      </c>
      <c r="F46" s="416"/>
    </row>
    <row r="47" spans="1:6" ht="12.75" customHeight="1">
      <c r="A47" s="9" t="s">
        <v>216</v>
      </c>
      <c r="B47" s="7">
        <v>1.09</v>
      </c>
      <c r="C47" s="7">
        <v>2.51</v>
      </c>
      <c r="D47" s="99">
        <v>1</v>
      </c>
      <c r="E47" s="98">
        <f t="shared" si="1"/>
        <v>3.5999999999999996</v>
      </c>
      <c r="F47" s="416"/>
    </row>
    <row r="48" spans="1:6" ht="12.75" customHeight="1">
      <c r="A48" s="9" t="s">
        <v>122</v>
      </c>
      <c r="B48" s="7">
        <v>0.33</v>
      </c>
      <c r="C48" s="7">
        <v>1.36</v>
      </c>
      <c r="D48" s="99">
        <v>1</v>
      </c>
      <c r="E48" s="98">
        <f t="shared" si="1"/>
        <v>1.6900000000000002</v>
      </c>
      <c r="F48" s="416"/>
    </row>
    <row r="49" spans="1:6" ht="12.75" customHeight="1">
      <c r="A49" s="9" t="s">
        <v>217</v>
      </c>
      <c r="B49" s="7">
        <v>2.12</v>
      </c>
      <c r="C49" s="7">
        <v>16.28</v>
      </c>
      <c r="D49" s="99">
        <v>1</v>
      </c>
      <c r="E49" s="98">
        <f t="shared" si="1"/>
        <v>18.400000000000002</v>
      </c>
      <c r="F49" s="416"/>
    </row>
    <row r="50" spans="1:6" ht="12.75" customHeight="1">
      <c r="A50" s="9" t="s">
        <v>218</v>
      </c>
      <c r="B50" s="7">
        <v>2.4</v>
      </c>
      <c r="C50" s="7">
        <v>3.29</v>
      </c>
      <c r="D50" s="99">
        <v>1</v>
      </c>
      <c r="E50" s="98">
        <f t="shared" si="1"/>
        <v>5.6899999999999995</v>
      </c>
      <c r="F50" s="416"/>
    </row>
    <row r="51" spans="1:6" ht="12.75" customHeight="1">
      <c r="A51" s="9" t="s">
        <v>219</v>
      </c>
      <c r="B51" s="7">
        <v>5.99</v>
      </c>
      <c r="C51" s="7">
        <v>8.22</v>
      </c>
      <c r="D51" s="99">
        <v>1</v>
      </c>
      <c r="E51" s="98">
        <f t="shared" si="1"/>
        <v>14.21</v>
      </c>
      <c r="F51" s="416"/>
    </row>
    <row r="52" spans="1:6" ht="12.75" customHeight="1">
      <c r="A52" s="9" t="s">
        <v>220</v>
      </c>
      <c r="B52" s="7">
        <v>1.6</v>
      </c>
      <c r="C52" s="7">
        <v>3.98</v>
      </c>
      <c r="D52" s="99">
        <v>1</v>
      </c>
      <c r="E52" s="98">
        <f t="shared" si="1"/>
        <v>5.58</v>
      </c>
      <c r="F52" s="416"/>
    </row>
    <row r="53" spans="1:6" ht="12.75" customHeight="1">
      <c r="A53" s="9" t="s">
        <v>221</v>
      </c>
      <c r="B53" s="7">
        <v>0.81</v>
      </c>
      <c r="C53" s="7">
        <v>3.8</v>
      </c>
      <c r="D53" s="99">
        <v>1</v>
      </c>
      <c r="E53" s="98">
        <f t="shared" si="1"/>
        <v>4.609999999999999</v>
      </c>
      <c r="F53" s="416"/>
    </row>
    <row r="54" spans="1:6" ht="12.75" customHeight="1">
      <c r="A54" s="9" t="s">
        <v>222</v>
      </c>
      <c r="B54" s="7">
        <v>1.28</v>
      </c>
      <c r="C54" s="7">
        <v>2.45</v>
      </c>
      <c r="D54" s="99">
        <v>1</v>
      </c>
      <c r="E54" s="98">
        <f t="shared" si="1"/>
        <v>3.7300000000000004</v>
      </c>
      <c r="F54" s="416"/>
    </row>
    <row r="55" spans="1:6" ht="12.75" customHeight="1">
      <c r="A55" s="9" t="s">
        <v>223</v>
      </c>
      <c r="B55" s="7">
        <v>0.4</v>
      </c>
      <c r="C55" s="7">
        <v>0.68</v>
      </c>
      <c r="D55" s="99">
        <v>1</v>
      </c>
      <c r="E55" s="98">
        <f t="shared" si="1"/>
        <v>1.08</v>
      </c>
      <c r="F55" s="416"/>
    </row>
    <row r="56" spans="1:6" ht="12.75" customHeight="1">
      <c r="A56" s="9" t="s">
        <v>224</v>
      </c>
      <c r="B56" s="7">
        <v>2.01</v>
      </c>
      <c r="C56" s="7">
        <v>2.02</v>
      </c>
      <c r="D56" s="99">
        <v>1</v>
      </c>
      <c r="E56" s="98">
        <f t="shared" si="1"/>
        <v>4.029999999999999</v>
      </c>
      <c r="F56" s="416"/>
    </row>
    <row r="57" spans="1:6" ht="12.75" customHeight="1">
      <c r="A57" s="9" t="s">
        <v>225</v>
      </c>
      <c r="B57" s="7">
        <v>4.53</v>
      </c>
      <c r="C57" s="7">
        <v>4.54</v>
      </c>
      <c r="D57" s="99">
        <v>1</v>
      </c>
      <c r="E57" s="98">
        <f t="shared" si="1"/>
        <v>9.07</v>
      </c>
      <c r="F57" s="416"/>
    </row>
    <row r="58" spans="1:6" ht="12.75" customHeight="1">
      <c r="A58" s="9" t="s">
        <v>226</v>
      </c>
      <c r="B58" s="7">
        <v>4.75</v>
      </c>
      <c r="C58" s="7">
        <v>0.25</v>
      </c>
      <c r="D58" s="99">
        <v>1</v>
      </c>
      <c r="E58" s="98">
        <f t="shared" si="1"/>
        <v>5</v>
      </c>
      <c r="F58" s="416"/>
    </row>
    <row r="59" spans="1:6" ht="12.75" customHeight="1">
      <c r="A59" s="9" t="s">
        <v>227</v>
      </c>
      <c r="B59" s="7">
        <v>9.51</v>
      </c>
      <c r="C59" s="7">
        <v>0.49</v>
      </c>
      <c r="D59" s="99">
        <v>1</v>
      </c>
      <c r="E59" s="98">
        <f t="shared" si="1"/>
        <v>10</v>
      </c>
      <c r="F59" s="416"/>
    </row>
    <row r="60" spans="1:6" ht="12.75" customHeight="1">
      <c r="A60" s="9" t="s">
        <v>228</v>
      </c>
      <c r="B60" s="7">
        <v>14.26</v>
      </c>
      <c r="C60" s="7">
        <v>0.74</v>
      </c>
      <c r="D60" s="99">
        <v>1</v>
      </c>
      <c r="E60" s="98">
        <f t="shared" si="1"/>
        <v>15</v>
      </c>
      <c r="F60" s="416"/>
    </row>
    <row r="61" spans="1:6" ht="12.75" customHeight="1">
      <c r="A61" s="9" t="s">
        <v>229</v>
      </c>
      <c r="B61" s="7">
        <v>17.83</v>
      </c>
      <c r="C61" s="7">
        <v>0.92</v>
      </c>
      <c r="D61" s="99">
        <v>1</v>
      </c>
      <c r="E61" s="98">
        <f t="shared" si="1"/>
        <v>18.75</v>
      </c>
      <c r="F61" s="416"/>
    </row>
    <row r="62" spans="1:6" ht="12.75" customHeight="1">
      <c r="A62" s="9" t="s">
        <v>230</v>
      </c>
      <c r="B62" s="7">
        <v>23.77</v>
      </c>
      <c r="C62" s="7">
        <v>1.23</v>
      </c>
      <c r="D62" s="99">
        <v>1</v>
      </c>
      <c r="E62" s="98">
        <f t="shared" si="1"/>
        <v>25</v>
      </c>
      <c r="F62" s="416"/>
    </row>
    <row r="63" spans="1:6" ht="12.75" customHeight="1">
      <c r="A63" s="9" t="s">
        <v>231</v>
      </c>
      <c r="B63" s="7">
        <v>27.4</v>
      </c>
      <c r="C63" s="7">
        <v>1.5</v>
      </c>
      <c r="D63" s="99">
        <v>1</v>
      </c>
      <c r="E63" s="98">
        <f t="shared" si="1"/>
        <v>28.9</v>
      </c>
      <c r="F63" s="416"/>
    </row>
    <row r="64" spans="1:6" ht="12.75" customHeight="1">
      <c r="A64" s="9" t="s">
        <v>232</v>
      </c>
      <c r="B64" s="7">
        <v>27.95</v>
      </c>
      <c r="C64" s="7">
        <v>1.6</v>
      </c>
      <c r="D64" s="99">
        <v>1</v>
      </c>
      <c r="E64" s="98">
        <f t="shared" si="1"/>
        <v>29.55</v>
      </c>
      <c r="F64" s="416"/>
    </row>
    <row r="65" spans="1:6" ht="12.75" customHeight="1">
      <c r="A65" s="9" t="s">
        <v>233</v>
      </c>
      <c r="B65" s="7">
        <v>29.79</v>
      </c>
      <c r="C65" s="7">
        <v>1.63</v>
      </c>
      <c r="D65" s="99">
        <v>1</v>
      </c>
      <c r="E65" s="98">
        <f t="shared" si="1"/>
        <v>31.419999999999998</v>
      </c>
      <c r="F65" s="416"/>
    </row>
    <row r="66" spans="1:6" ht="12.75" customHeight="1">
      <c r="A66" s="9" t="s">
        <v>234</v>
      </c>
      <c r="B66" s="7">
        <v>35.66</v>
      </c>
      <c r="C66" s="7">
        <v>1.85</v>
      </c>
      <c r="D66" s="99">
        <v>1</v>
      </c>
      <c r="E66" s="98">
        <f t="shared" si="1"/>
        <v>37.51</v>
      </c>
      <c r="F66" s="416"/>
    </row>
    <row r="67" spans="1:6" ht="12.75" customHeight="1">
      <c r="A67" s="9" t="s">
        <v>235</v>
      </c>
      <c r="B67" s="7">
        <v>41.6</v>
      </c>
      <c r="C67" s="7">
        <v>2.16</v>
      </c>
      <c r="D67" s="99">
        <v>1</v>
      </c>
      <c r="E67" s="98">
        <f t="shared" si="1"/>
        <v>43.760000000000005</v>
      </c>
      <c r="F67" s="416"/>
    </row>
    <row r="68" spans="1:6" ht="12.75" customHeight="1">
      <c r="A68" s="9" t="s">
        <v>236</v>
      </c>
      <c r="B68" s="7">
        <v>47.55</v>
      </c>
      <c r="C68" s="7">
        <v>2.46</v>
      </c>
      <c r="D68" s="99">
        <v>1</v>
      </c>
      <c r="E68" s="98">
        <f t="shared" si="1"/>
        <v>50.01</v>
      </c>
      <c r="F68" s="416"/>
    </row>
    <row r="69" spans="1:6" ht="12.75" customHeight="1">
      <c r="A69" s="9" t="s">
        <v>237</v>
      </c>
      <c r="B69" s="7">
        <v>1.27</v>
      </c>
      <c r="C69" s="7">
        <v>0.14</v>
      </c>
      <c r="D69" s="99">
        <v>1</v>
      </c>
      <c r="E69" s="98">
        <f t="shared" si="1"/>
        <v>1.4100000000000001</v>
      </c>
      <c r="F69" s="416"/>
    </row>
    <row r="70" spans="1:6" ht="12.75" customHeight="1">
      <c r="A70" s="9" t="s">
        <v>238</v>
      </c>
      <c r="B70" s="7">
        <v>3.18</v>
      </c>
      <c r="C70" s="7">
        <v>0.36</v>
      </c>
      <c r="D70" s="99">
        <v>1</v>
      </c>
      <c r="E70" s="98">
        <f aca="true" t="shared" si="2" ref="E70:E101">SUM(B70,C70)*D70</f>
        <v>3.54</v>
      </c>
      <c r="F70" s="416"/>
    </row>
    <row r="71" spans="1:6" ht="12.75" customHeight="1">
      <c r="A71" s="9" t="s">
        <v>239</v>
      </c>
      <c r="B71" s="7">
        <v>3.81</v>
      </c>
      <c r="C71" s="7">
        <v>0.43</v>
      </c>
      <c r="D71" s="99">
        <v>1</v>
      </c>
      <c r="E71" s="98">
        <f t="shared" si="2"/>
        <v>4.24</v>
      </c>
      <c r="F71" s="416"/>
    </row>
    <row r="72" spans="1:6" ht="12.75" customHeight="1">
      <c r="A72" s="9" t="s">
        <v>240</v>
      </c>
      <c r="B72" s="7">
        <v>1.21</v>
      </c>
      <c r="C72" s="7">
        <v>1.22</v>
      </c>
      <c r="D72" s="99">
        <v>1</v>
      </c>
      <c r="E72" s="98">
        <f t="shared" si="2"/>
        <v>2.4299999999999997</v>
      </c>
      <c r="F72" s="416"/>
    </row>
    <row r="73" spans="1:6" ht="12.75" customHeight="1">
      <c r="A73" s="9" t="s">
        <v>241</v>
      </c>
      <c r="B73" s="7">
        <v>0.47</v>
      </c>
      <c r="C73" s="7">
        <v>2.9</v>
      </c>
      <c r="D73" s="99">
        <v>1</v>
      </c>
      <c r="E73" s="98">
        <f t="shared" si="2"/>
        <v>3.37</v>
      </c>
      <c r="F73" s="416"/>
    </row>
    <row r="74" spans="1:6" ht="12.75" customHeight="1">
      <c r="A74" s="9" t="s">
        <v>242</v>
      </c>
      <c r="B74" s="7">
        <v>1.05</v>
      </c>
      <c r="C74" s="7">
        <v>6.48</v>
      </c>
      <c r="D74" s="99">
        <v>1</v>
      </c>
      <c r="E74" s="98">
        <f t="shared" si="2"/>
        <v>7.53</v>
      </c>
      <c r="F74" s="416"/>
    </row>
    <row r="75" spans="1:6" ht="12.75" customHeight="1">
      <c r="A75" s="9" t="s">
        <v>243</v>
      </c>
      <c r="B75" s="7">
        <v>1.77</v>
      </c>
      <c r="C75" s="7">
        <v>10.91</v>
      </c>
      <c r="D75" s="99">
        <v>1</v>
      </c>
      <c r="E75" s="98">
        <f t="shared" si="2"/>
        <v>12.68</v>
      </c>
      <c r="F75" s="416"/>
    </row>
    <row r="76" spans="1:6" ht="12.75" customHeight="1">
      <c r="A76" s="9" t="s">
        <v>244</v>
      </c>
      <c r="B76" s="7">
        <v>2.53</v>
      </c>
      <c r="C76" s="7">
        <v>3.41</v>
      </c>
      <c r="D76" s="99">
        <v>1</v>
      </c>
      <c r="E76" s="98">
        <f t="shared" si="2"/>
        <v>5.9399999999999995</v>
      </c>
      <c r="F76" s="416"/>
    </row>
    <row r="77" spans="1:6" ht="12.75" customHeight="1">
      <c r="A77" s="9" t="s">
        <v>245</v>
      </c>
      <c r="B77" s="7">
        <v>2.78</v>
      </c>
      <c r="C77" s="7">
        <v>3.75</v>
      </c>
      <c r="D77" s="99">
        <v>1</v>
      </c>
      <c r="E77" s="98">
        <f t="shared" si="2"/>
        <v>6.529999999999999</v>
      </c>
      <c r="F77" s="416"/>
    </row>
    <row r="78" spans="1:6" ht="12.75" customHeight="1">
      <c r="A78" s="9" t="s">
        <v>246</v>
      </c>
      <c r="B78" s="7">
        <v>47.37</v>
      </c>
      <c r="C78" s="7">
        <v>4.3</v>
      </c>
      <c r="D78" s="99">
        <v>1</v>
      </c>
      <c r="E78" s="98">
        <f t="shared" si="2"/>
        <v>51.669999999999995</v>
      </c>
      <c r="F78" s="416"/>
    </row>
    <row r="79" spans="1:6" ht="12.75" customHeight="1">
      <c r="A79" s="9" t="s">
        <v>247</v>
      </c>
      <c r="B79" s="7">
        <v>0.14</v>
      </c>
      <c r="C79" s="7">
        <v>0.64</v>
      </c>
      <c r="D79" s="99">
        <v>1</v>
      </c>
      <c r="E79" s="98">
        <f t="shared" si="2"/>
        <v>0.78</v>
      </c>
      <c r="F79" s="416"/>
    </row>
    <row r="80" spans="1:6" ht="12.75" customHeight="1">
      <c r="A80" s="9" t="s">
        <v>248</v>
      </c>
      <c r="B80" s="7">
        <v>0.18</v>
      </c>
      <c r="C80" s="7">
        <v>0.85</v>
      </c>
      <c r="D80" s="99">
        <v>1</v>
      </c>
      <c r="E80" s="98">
        <f t="shared" si="2"/>
        <v>1.03</v>
      </c>
      <c r="F80" s="416"/>
    </row>
    <row r="81" spans="1:6" ht="12.75" customHeight="1">
      <c r="A81" s="9" t="s">
        <v>249</v>
      </c>
      <c r="B81" s="7">
        <v>4.34</v>
      </c>
      <c r="C81" s="7">
        <v>9.12</v>
      </c>
      <c r="D81" s="99">
        <v>1</v>
      </c>
      <c r="E81" s="98">
        <f t="shared" si="2"/>
        <v>13.459999999999999</v>
      </c>
      <c r="F81" s="416"/>
    </row>
    <row r="82" spans="1:6" ht="12.75" customHeight="1">
      <c r="A82" s="9" t="s">
        <v>250</v>
      </c>
      <c r="B82" s="7">
        <v>5.3</v>
      </c>
      <c r="C82" s="7">
        <v>15.85</v>
      </c>
      <c r="D82" s="99">
        <v>1</v>
      </c>
      <c r="E82" s="98">
        <f t="shared" si="2"/>
        <v>21.15</v>
      </c>
      <c r="F82" s="416"/>
    </row>
    <row r="83" spans="1:6" ht="12.75" customHeight="1">
      <c r="A83" s="9" t="s">
        <v>251</v>
      </c>
      <c r="B83" s="7">
        <v>5.15</v>
      </c>
      <c r="C83" s="7">
        <v>8.82</v>
      </c>
      <c r="D83" s="99">
        <v>1</v>
      </c>
      <c r="E83" s="98">
        <f t="shared" si="2"/>
        <v>13.97</v>
      </c>
      <c r="F83" s="416"/>
    </row>
    <row r="84" spans="1:6" ht="12.75" customHeight="1">
      <c r="A84" s="9" t="s">
        <v>382</v>
      </c>
      <c r="B84" s="7">
        <v>17.31</v>
      </c>
      <c r="C84" s="7">
        <v>9.55</v>
      </c>
      <c r="D84" s="99">
        <v>1</v>
      </c>
      <c r="E84" s="98">
        <f t="shared" si="2"/>
        <v>26.86</v>
      </c>
      <c r="F84" s="416"/>
    </row>
    <row r="85" spans="1:6" ht="12.75" customHeight="1">
      <c r="A85" s="9" t="s">
        <v>252</v>
      </c>
      <c r="B85" s="7">
        <v>47.91</v>
      </c>
      <c r="C85" s="7">
        <v>25.69</v>
      </c>
      <c r="D85" s="99">
        <v>1</v>
      </c>
      <c r="E85" s="98">
        <f t="shared" si="2"/>
        <v>73.6</v>
      </c>
      <c r="F85" s="416"/>
    </row>
    <row r="86" spans="1:6" ht="12.75" customHeight="1">
      <c r="A86" s="9" t="s">
        <v>253</v>
      </c>
      <c r="B86" s="7">
        <v>24.73</v>
      </c>
      <c r="C86" s="7">
        <v>13.64</v>
      </c>
      <c r="D86" s="99">
        <v>1</v>
      </c>
      <c r="E86" s="98">
        <f t="shared" si="2"/>
        <v>38.370000000000005</v>
      </c>
      <c r="F86" s="416"/>
    </row>
    <row r="87" spans="1:6" ht="12.75" customHeight="1">
      <c r="A87" s="9" t="s">
        <v>254</v>
      </c>
      <c r="B87" s="7">
        <v>3.46</v>
      </c>
      <c r="C87" s="7">
        <v>1.91</v>
      </c>
      <c r="D87" s="99">
        <v>1</v>
      </c>
      <c r="E87" s="98">
        <f t="shared" si="2"/>
        <v>5.37</v>
      </c>
      <c r="F87" s="416"/>
    </row>
    <row r="88" spans="1:6" ht="12.75" customHeight="1">
      <c r="A88" s="9" t="s">
        <v>255</v>
      </c>
      <c r="B88" s="7">
        <v>3.71</v>
      </c>
      <c r="C88" s="7">
        <v>2.05</v>
      </c>
      <c r="D88" s="99">
        <v>1</v>
      </c>
      <c r="E88" s="98">
        <f t="shared" si="2"/>
        <v>5.76</v>
      </c>
      <c r="F88" s="416"/>
    </row>
    <row r="89" spans="1:6" ht="12.75" customHeight="1">
      <c r="A89" s="9" t="s">
        <v>256</v>
      </c>
      <c r="B89" s="7">
        <v>1.85</v>
      </c>
      <c r="C89" s="7">
        <v>1.02</v>
      </c>
      <c r="D89" s="99">
        <v>1</v>
      </c>
      <c r="E89" s="98">
        <f t="shared" si="2"/>
        <v>2.87</v>
      </c>
      <c r="F89" s="416"/>
    </row>
    <row r="90" spans="1:6" ht="12.75" customHeight="1">
      <c r="A90" s="9" t="s">
        <v>257</v>
      </c>
      <c r="B90" s="7">
        <v>22.26</v>
      </c>
      <c r="C90" s="7">
        <v>12.28</v>
      </c>
      <c r="D90" s="99">
        <v>1</v>
      </c>
      <c r="E90" s="98">
        <f t="shared" si="2"/>
        <v>34.54</v>
      </c>
      <c r="F90" s="416"/>
    </row>
    <row r="91" spans="1:6" ht="12.75" customHeight="1">
      <c r="A91" s="9" t="s">
        <v>258</v>
      </c>
      <c r="B91" s="7">
        <v>8.27</v>
      </c>
      <c r="C91" s="7">
        <v>21.31</v>
      </c>
      <c r="D91" s="99">
        <v>1</v>
      </c>
      <c r="E91" s="98">
        <f t="shared" si="2"/>
        <v>29.58</v>
      </c>
      <c r="F91" s="416"/>
    </row>
    <row r="92" spans="1:6" ht="12.75" customHeight="1">
      <c r="A92" s="9" t="s">
        <v>259</v>
      </c>
      <c r="B92" s="7">
        <v>9.89</v>
      </c>
      <c r="C92" s="7">
        <v>5.46</v>
      </c>
      <c r="D92" s="99">
        <v>1</v>
      </c>
      <c r="E92" s="98">
        <f t="shared" si="2"/>
        <v>15.350000000000001</v>
      </c>
      <c r="F92" s="416"/>
    </row>
    <row r="93" spans="1:6" ht="12.75" customHeight="1">
      <c r="A93" s="9" t="s">
        <v>260</v>
      </c>
      <c r="B93" s="7">
        <v>9.89</v>
      </c>
      <c r="C93" s="7">
        <v>5.46</v>
      </c>
      <c r="D93" s="99">
        <v>1</v>
      </c>
      <c r="E93" s="98">
        <f t="shared" si="2"/>
        <v>15.350000000000001</v>
      </c>
      <c r="F93" s="416"/>
    </row>
    <row r="94" spans="1:6" ht="12.75" customHeight="1">
      <c r="A94" s="9" t="s">
        <v>261</v>
      </c>
      <c r="B94" s="7">
        <v>3.71</v>
      </c>
      <c r="C94" s="7">
        <v>2.1</v>
      </c>
      <c r="D94" s="99">
        <v>1</v>
      </c>
      <c r="E94" s="98">
        <f t="shared" si="2"/>
        <v>5.8100000000000005</v>
      </c>
      <c r="F94" s="416"/>
    </row>
    <row r="95" spans="1:6" ht="12.75" customHeight="1">
      <c r="A95" s="9" t="s">
        <v>262</v>
      </c>
      <c r="B95" s="7">
        <v>1.47</v>
      </c>
      <c r="C95" s="7">
        <v>4.48</v>
      </c>
      <c r="D95" s="99">
        <v>1</v>
      </c>
      <c r="E95" s="98">
        <f t="shared" si="2"/>
        <v>5.95</v>
      </c>
      <c r="F95" s="416"/>
    </row>
    <row r="96" spans="1:6" ht="12.75" customHeight="1">
      <c r="A96" s="9" t="s">
        <v>263</v>
      </c>
      <c r="B96" s="7">
        <v>3.91</v>
      </c>
      <c r="C96" s="7">
        <v>11.94</v>
      </c>
      <c r="D96" s="99">
        <v>1</v>
      </c>
      <c r="E96" s="98">
        <f t="shared" si="2"/>
        <v>15.85</v>
      </c>
      <c r="F96" s="416"/>
    </row>
    <row r="97" spans="1:6" ht="12.75" customHeight="1">
      <c r="A97" s="9" t="s">
        <v>264</v>
      </c>
      <c r="B97" s="7">
        <v>3.04</v>
      </c>
      <c r="C97" s="7">
        <v>4.26</v>
      </c>
      <c r="D97" s="99">
        <v>1</v>
      </c>
      <c r="E97" s="98">
        <f t="shared" si="2"/>
        <v>7.3</v>
      </c>
      <c r="F97" s="416"/>
    </row>
    <row r="98" spans="1:6" ht="12.75" customHeight="1">
      <c r="A98" s="9" t="s">
        <v>265</v>
      </c>
      <c r="B98" s="7">
        <v>2.84</v>
      </c>
      <c r="C98" s="7">
        <v>5.8</v>
      </c>
      <c r="D98" s="99">
        <v>1</v>
      </c>
      <c r="E98" s="98">
        <f t="shared" si="2"/>
        <v>8.64</v>
      </c>
      <c r="F98" s="416"/>
    </row>
    <row r="99" spans="1:6" ht="12.75" customHeight="1">
      <c r="A99" s="9" t="s">
        <v>266</v>
      </c>
      <c r="B99" s="7">
        <v>1.86</v>
      </c>
      <c r="C99" s="7">
        <v>4.26</v>
      </c>
      <c r="D99" s="99">
        <v>1</v>
      </c>
      <c r="E99" s="98">
        <f t="shared" si="2"/>
        <v>6.12</v>
      </c>
      <c r="F99" s="416"/>
    </row>
    <row r="100" spans="1:6" ht="12.75" customHeight="1">
      <c r="A100" s="9" t="s">
        <v>267</v>
      </c>
      <c r="B100" s="7">
        <v>0.56</v>
      </c>
      <c r="C100" s="7">
        <v>1.28</v>
      </c>
      <c r="D100" s="99">
        <v>1</v>
      </c>
      <c r="E100" s="98">
        <f t="shared" si="2"/>
        <v>1.84</v>
      </c>
      <c r="F100" s="416"/>
    </row>
    <row r="101" spans="1:6" ht="12.75" customHeight="1">
      <c r="A101" s="9" t="s">
        <v>268</v>
      </c>
      <c r="B101" s="7">
        <v>1.09</v>
      </c>
      <c r="C101" s="7">
        <v>2.22</v>
      </c>
      <c r="D101" s="99">
        <v>1</v>
      </c>
      <c r="E101" s="98">
        <f t="shared" si="2"/>
        <v>3.3100000000000005</v>
      </c>
      <c r="F101" s="416"/>
    </row>
    <row r="102" spans="1:6" ht="12.75" customHeight="1">
      <c r="A102" s="9" t="s">
        <v>269</v>
      </c>
      <c r="B102" s="7">
        <v>0.44</v>
      </c>
      <c r="C102" s="7">
        <v>1.36</v>
      </c>
      <c r="D102" s="99">
        <v>1</v>
      </c>
      <c r="E102" s="98">
        <f aca="true" t="shared" si="3" ref="E102:E133">SUM(B102,C102)*D102</f>
        <v>1.8</v>
      </c>
      <c r="F102" s="416"/>
    </row>
    <row r="103" spans="1:6" ht="12.75" customHeight="1">
      <c r="A103" s="9" t="s">
        <v>270</v>
      </c>
      <c r="B103" s="7">
        <v>1.47</v>
      </c>
      <c r="C103" s="7">
        <v>2.02</v>
      </c>
      <c r="D103" s="99">
        <v>1</v>
      </c>
      <c r="E103" s="98">
        <f t="shared" si="3"/>
        <v>3.49</v>
      </c>
      <c r="F103" s="416"/>
    </row>
    <row r="104" spans="1:6" ht="12.75" customHeight="1">
      <c r="A104" s="9" t="s">
        <v>271</v>
      </c>
      <c r="B104" s="7">
        <v>2.94</v>
      </c>
      <c r="C104" s="7">
        <v>4.03</v>
      </c>
      <c r="D104" s="99">
        <v>1</v>
      </c>
      <c r="E104" s="98">
        <f t="shared" si="3"/>
        <v>6.970000000000001</v>
      </c>
      <c r="F104" s="416"/>
    </row>
    <row r="105" spans="1:6" ht="12.75" customHeight="1">
      <c r="A105" s="9" t="s">
        <v>272</v>
      </c>
      <c r="B105" s="7">
        <v>3.92</v>
      </c>
      <c r="C105" s="7">
        <v>5.38</v>
      </c>
      <c r="D105" s="99">
        <v>1</v>
      </c>
      <c r="E105" s="98">
        <f t="shared" si="3"/>
        <v>9.3</v>
      </c>
      <c r="F105" s="416"/>
    </row>
    <row r="106" spans="1:6" ht="12.75" customHeight="1">
      <c r="A106" s="9" t="s">
        <v>119</v>
      </c>
      <c r="B106" s="7">
        <v>5.39</v>
      </c>
      <c r="C106" s="7">
        <v>7.4</v>
      </c>
      <c r="D106" s="99">
        <v>1</v>
      </c>
      <c r="E106" s="98">
        <f t="shared" si="3"/>
        <v>12.79</v>
      </c>
      <c r="F106" s="416"/>
    </row>
    <row r="107" spans="1:6" ht="15" customHeight="1">
      <c r="A107" s="9" t="s">
        <v>273</v>
      </c>
      <c r="B107" s="7">
        <v>6.53</v>
      </c>
      <c r="C107" s="7">
        <v>1.36</v>
      </c>
      <c r="D107" s="99">
        <v>1</v>
      </c>
      <c r="E107" s="98">
        <f t="shared" si="3"/>
        <v>7.890000000000001</v>
      </c>
      <c r="F107" s="416"/>
    </row>
    <row r="108" spans="1:6" ht="15" customHeight="1">
      <c r="A108" s="9" t="s">
        <v>274</v>
      </c>
      <c r="B108" s="7">
        <v>8.84</v>
      </c>
      <c r="C108" s="7">
        <v>1.78</v>
      </c>
      <c r="D108" s="99">
        <v>1</v>
      </c>
      <c r="E108" s="98">
        <f t="shared" si="3"/>
        <v>10.62</v>
      </c>
      <c r="F108" s="416"/>
    </row>
    <row r="109" spans="1:6" ht="15" customHeight="1">
      <c r="A109" s="9" t="s">
        <v>275</v>
      </c>
      <c r="B109" s="7">
        <v>9.05</v>
      </c>
      <c r="C109" s="7">
        <v>1.76</v>
      </c>
      <c r="D109" s="99">
        <v>1</v>
      </c>
      <c r="E109" s="98">
        <f t="shared" si="3"/>
        <v>10.81</v>
      </c>
      <c r="F109" s="416"/>
    </row>
    <row r="110" spans="1:6" ht="15" customHeight="1">
      <c r="A110" s="9" t="s">
        <v>276</v>
      </c>
      <c r="B110" s="7">
        <v>10.68</v>
      </c>
      <c r="C110" s="7">
        <v>2.55</v>
      </c>
      <c r="D110" s="99">
        <v>1</v>
      </c>
      <c r="E110" s="98">
        <f t="shared" si="3"/>
        <v>13.23</v>
      </c>
      <c r="F110" s="416"/>
    </row>
    <row r="111" spans="1:6" ht="15" customHeight="1">
      <c r="A111" s="9" t="s">
        <v>277</v>
      </c>
      <c r="B111" s="7">
        <v>14.25</v>
      </c>
      <c r="C111" s="7">
        <v>2.8</v>
      </c>
      <c r="D111" s="99">
        <v>1</v>
      </c>
      <c r="E111" s="98">
        <f t="shared" si="3"/>
        <v>17.05</v>
      </c>
      <c r="F111" s="416"/>
    </row>
    <row r="112" spans="1:6" ht="15" customHeight="1">
      <c r="A112" s="9" t="s">
        <v>278</v>
      </c>
      <c r="B112" s="7">
        <v>15.84</v>
      </c>
      <c r="C112" s="7">
        <v>3.53</v>
      </c>
      <c r="D112" s="99">
        <v>1</v>
      </c>
      <c r="E112" s="98">
        <f t="shared" si="3"/>
        <v>19.37</v>
      </c>
      <c r="F112" s="416"/>
    </row>
    <row r="113" spans="1:6" ht="15" customHeight="1">
      <c r="A113" s="9" t="s">
        <v>279</v>
      </c>
      <c r="B113" s="7">
        <v>18.31</v>
      </c>
      <c r="C113" s="7">
        <v>3.84</v>
      </c>
      <c r="D113" s="99">
        <v>1</v>
      </c>
      <c r="E113" s="98">
        <f t="shared" si="3"/>
        <v>22.15</v>
      </c>
      <c r="F113" s="416"/>
    </row>
    <row r="114" spans="1:6" ht="15" customHeight="1">
      <c r="A114" s="9" t="s">
        <v>280</v>
      </c>
      <c r="B114" s="7">
        <v>19.5</v>
      </c>
      <c r="C114" s="7">
        <v>3.93</v>
      </c>
      <c r="D114" s="99">
        <v>1</v>
      </c>
      <c r="E114" s="98">
        <f t="shared" si="3"/>
        <v>23.43</v>
      </c>
      <c r="F114" s="416"/>
    </row>
    <row r="115" spans="1:6" ht="15" customHeight="1">
      <c r="A115" s="9" t="s">
        <v>281</v>
      </c>
      <c r="B115" s="7">
        <v>20.82</v>
      </c>
      <c r="C115" s="7">
        <v>4.21</v>
      </c>
      <c r="D115" s="99">
        <v>1</v>
      </c>
      <c r="E115" s="98">
        <f t="shared" si="3"/>
        <v>25.03</v>
      </c>
      <c r="F115" s="416"/>
    </row>
    <row r="116" spans="1:6" ht="15" customHeight="1">
      <c r="A116" s="9" t="s">
        <v>282</v>
      </c>
      <c r="B116" s="7">
        <v>22.09</v>
      </c>
      <c r="C116" s="7">
        <v>4.44</v>
      </c>
      <c r="D116" s="99">
        <v>1</v>
      </c>
      <c r="E116" s="98">
        <f t="shared" si="3"/>
        <v>26.53</v>
      </c>
      <c r="F116" s="416"/>
    </row>
    <row r="117" spans="1:10" ht="15" customHeight="1">
      <c r="A117" s="9" t="s">
        <v>283</v>
      </c>
      <c r="B117" s="7">
        <v>24.84</v>
      </c>
      <c r="C117" s="7">
        <v>5.2</v>
      </c>
      <c r="D117" s="99">
        <v>1</v>
      </c>
      <c r="E117" s="98">
        <f t="shared" si="3"/>
        <v>30.04</v>
      </c>
      <c r="F117" s="416"/>
      <c r="G117" s="154"/>
      <c r="H117" s="154"/>
      <c r="I117" s="154"/>
      <c r="J117" s="154"/>
    </row>
    <row r="118" spans="1:6" ht="15" customHeight="1">
      <c r="A118" s="9" t="s">
        <v>158</v>
      </c>
      <c r="B118" s="7">
        <v>26.3</v>
      </c>
      <c r="C118" s="7">
        <v>5.73</v>
      </c>
      <c r="D118" s="99">
        <v>1</v>
      </c>
      <c r="E118" s="98">
        <f t="shared" si="3"/>
        <v>32.03</v>
      </c>
      <c r="F118" s="416"/>
    </row>
    <row r="119" spans="1:6" ht="15" customHeight="1">
      <c r="A119" s="9" t="s">
        <v>284</v>
      </c>
      <c r="B119" s="7">
        <v>28.65</v>
      </c>
      <c r="C119" s="7">
        <v>5.83</v>
      </c>
      <c r="D119" s="99">
        <v>1</v>
      </c>
      <c r="E119" s="98">
        <f t="shared" si="3"/>
        <v>34.48</v>
      </c>
      <c r="F119" s="416"/>
    </row>
    <row r="120" spans="1:6" ht="15" customHeight="1">
      <c r="A120" s="9" t="s">
        <v>285</v>
      </c>
      <c r="B120" s="7">
        <v>32.48</v>
      </c>
      <c r="C120" s="7">
        <v>6.5</v>
      </c>
      <c r="D120" s="99">
        <v>1</v>
      </c>
      <c r="E120" s="98">
        <f t="shared" si="3"/>
        <v>38.98</v>
      </c>
      <c r="F120" s="416"/>
    </row>
    <row r="121" spans="1:6" ht="15" customHeight="1">
      <c r="A121" s="9" t="s">
        <v>286</v>
      </c>
      <c r="B121" s="7">
        <v>33.72</v>
      </c>
      <c r="C121" s="7">
        <v>6.68</v>
      </c>
      <c r="D121" s="99">
        <v>1</v>
      </c>
      <c r="E121" s="98">
        <f t="shared" si="3"/>
        <v>40.4</v>
      </c>
      <c r="F121" s="416"/>
    </row>
    <row r="122" spans="1:9" ht="15" customHeight="1">
      <c r="A122" s="9" t="s">
        <v>287</v>
      </c>
      <c r="B122" s="7">
        <v>36.23</v>
      </c>
      <c r="C122" s="7">
        <v>7.05</v>
      </c>
      <c r="D122" s="99">
        <v>1</v>
      </c>
      <c r="E122" s="98">
        <f t="shared" si="3"/>
        <v>43.279999999999994</v>
      </c>
      <c r="F122" s="416"/>
      <c r="G122" s="154"/>
      <c r="H122" s="154"/>
      <c r="I122" s="154"/>
    </row>
    <row r="123" spans="1:6" ht="15" customHeight="1">
      <c r="A123" s="9" t="s">
        <v>288</v>
      </c>
      <c r="B123" s="7">
        <v>38.73</v>
      </c>
      <c r="C123" s="7">
        <v>7.41</v>
      </c>
      <c r="D123" s="99">
        <v>1</v>
      </c>
      <c r="E123" s="98">
        <f t="shared" si="3"/>
        <v>46.14</v>
      </c>
      <c r="F123" s="416"/>
    </row>
    <row r="124" spans="1:6" ht="15" customHeight="1">
      <c r="A124" s="9" t="s">
        <v>289</v>
      </c>
      <c r="B124" s="7">
        <v>41.61</v>
      </c>
      <c r="C124" s="7">
        <v>8.39</v>
      </c>
      <c r="D124" s="99">
        <v>1</v>
      </c>
      <c r="E124" s="98">
        <f t="shared" si="3"/>
        <v>50</v>
      </c>
      <c r="F124" s="416"/>
    </row>
    <row r="125" spans="1:9" ht="15" customHeight="1">
      <c r="A125" s="9" t="s">
        <v>290</v>
      </c>
      <c r="B125" s="7">
        <v>44.11</v>
      </c>
      <c r="C125" s="7">
        <v>8.75</v>
      </c>
      <c r="D125" s="99">
        <v>1</v>
      </c>
      <c r="E125" s="98">
        <f t="shared" si="3"/>
        <v>52.86</v>
      </c>
      <c r="F125" s="416"/>
      <c r="G125" s="154"/>
      <c r="H125" s="154"/>
      <c r="I125" s="154"/>
    </row>
    <row r="126" spans="1:6" ht="15" customHeight="1">
      <c r="A126" s="9" t="s">
        <v>156</v>
      </c>
      <c r="B126" s="7">
        <v>46.65</v>
      </c>
      <c r="C126" s="7">
        <v>9.17</v>
      </c>
      <c r="D126" s="99">
        <v>1</v>
      </c>
      <c r="E126" s="98">
        <f t="shared" si="3"/>
        <v>55.82</v>
      </c>
      <c r="F126" s="416"/>
    </row>
    <row r="127" spans="1:6" ht="12.75" customHeight="1">
      <c r="A127" s="9" t="s">
        <v>157</v>
      </c>
      <c r="B127" s="7">
        <v>54.72</v>
      </c>
      <c r="C127" s="7">
        <v>11.18</v>
      </c>
      <c r="D127" s="99">
        <v>1</v>
      </c>
      <c r="E127" s="98">
        <f t="shared" si="3"/>
        <v>65.9</v>
      </c>
      <c r="F127" s="416"/>
    </row>
    <row r="128" spans="1:6" ht="12.75" customHeight="1">
      <c r="A128" s="9" t="s">
        <v>291</v>
      </c>
      <c r="B128" s="7">
        <v>57.37</v>
      </c>
      <c r="C128" s="7">
        <v>23</v>
      </c>
      <c r="D128" s="99">
        <v>1</v>
      </c>
      <c r="E128" s="98">
        <f t="shared" si="3"/>
        <v>80.37</v>
      </c>
      <c r="F128" s="416"/>
    </row>
    <row r="129" spans="1:6" ht="12.75" customHeight="1">
      <c r="A129" s="9" t="s">
        <v>292</v>
      </c>
      <c r="B129" s="7">
        <v>8.24</v>
      </c>
      <c r="C129" s="7">
        <v>0.53</v>
      </c>
      <c r="D129" s="99">
        <v>1</v>
      </c>
      <c r="E129" s="98">
        <f t="shared" si="3"/>
        <v>8.77</v>
      </c>
      <c r="F129" s="416"/>
    </row>
    <row r="130" spans="1:6" ht="12.75" customHeight="1">
      <c r="A130" s="9" t="s">
        <v>293</v>
      </c>
      <c r="B130" s="7">
        <v>26.24</v>
      </c>
      <c r="C130" s="7">
        <v>11.17</v>
      </c>
      <c r="D130" s="99">
        <v>1</v>
      </c>
      <c r="E130" s="98">
        <f t="shared" si="3"/>
        <v>37.41</v>
      </c>
      <c r="F130" s="416"/>
    </row>
    <row r="131" spans="1:6" ht="12.75" customHeight="1">
      <c r="A131" s="9" t="s">
        <v>294</v>
      </c>
      <c r="B131" s="7">
        <v>57.75</v>
      </c>
      <c r="C131" s="7">
        <v>12.66</v>
      </c>
      <c r="D131" s="99">
        <v>1</v>
      </c>
      <c r="E131" s="98">
        <f t="shared" si="3"/>
        <v>70.41</v>
      </c>
      <c r="F131" s="416"/>
    </row>
    <row r="132" spans="1:6" ht="12.75" customHeight="1">
      <c r="A132" s="9" t="s">
        <v>295</v>
      </c>
      <c r="B132" s="7">
        <v>81.99</v>
      </c>
      <c r="C132" s="7">
        <v>17.73</v>
      </c>
      <c r="D132" s="99">
        <v>1</v>
      </c>
      <c r="E132" s="98">
        <f t="shared" si="3"/>
        <v>99.72</v>
      </c>
      <c r="F132" s="416"/>
    </row>
    <row r="133" spans="1:6" ht="12.75" customHeight="1">
      <c r="A133" s="9" t="s">
        <v>296</v>
      </c>
      <c r="B133" s="7">
        <v>85.87</v>
      </c>
      <c r="C133" s="7">
        <v>19.22</v>
      </c>
      <c r="D133" s="99">
        <v>1</v>
      </c>
      <c r="E133" s="98">
        <f t="shared" si="3"/>
        <v>105.09</v>
      </c>
      <c r="F133" s="416"/>
    </row>
    <row r="134" spans="1:6" ht="12.75" customHeight="1">
      <c r="A134" s="9" t="s">
        <v>121</v>
      </c>
      <c r="B134" s="7">
        <v>1.62</v>
      </c>
      <c r="C134" s="7">
        <v>6.33</v>
      </c>
      <c r="D134" s="99">
        <v>1</v>
      </c>
      <c r="E134" s="98">
        <f>SUM(B134,C134)*D134</f>
        <v>7.95</v>
      </c>
      <c r="F134" s="416"/>
    </row>
    <row r="135" spans="1:6" ht="12.75" customHeight="1">
      <c r="A135" s="9" t="s">
        <v>297</v>
      </c>
      <c r="B135" s="7">
        <v>0.35</v>
      </c>
      <c r="C135" s="7">
        <v>1.36</v>
      </c>
      <c r="D135" s="99">
        <v>1</v>
      </c>
      <c r="E135" s="98">
        <f>SUM(B135,C135)*D135</f>
        <v>1.71</v>
      </c>
      <c r="F135" s="416"/>
    </row>
    <row r="136" spans="1:6" ht="12.75" customHeight="1">
      <c r="A136" s="9" t="s">
        <v>120</v>
      </c>
      <c r="B136" s="7">
        <v>0.28</v>
      </c>
      <c r="C136" s="7">
        <v>1.09</v>
      </c>
      <c r="D136" s="99">
        <v>1</v>
      </c>
      <c r="E136" s="98">
        <f>SUM(B136,C136)*D136</f>
        <v>1.37</v>
      </c>
      <c r="F136" s="416"/>
    </row>
    <row r="137" spans="1:6" ht="12.75" customHeight="1">
      <c r="A137" s="9" t="s">
        <v>298</v>
      </c>
      <c r="B137" s="7">
        <v>0.25</v>
      </c>
      <c r="C137" s="7">
        <v>0.57</v>
      </c>
      <c r="D137" s="99">
        <v>1</v>
      </c>
      <c r="E137" s="98">
        <f>SUM(B137,C137)*D137</f>
        <v>0.82</v>
      </c>
      <c r="F137" s="416"/>
    </row>
    <row r="138" spans="1:6" ht="12.75" customHeight="1">
      <c r="A138" s="424"/>
      <c r="B138" s="424"/>
      <c r="C138" s="424"/>
      <c r="D138" s="424"/>
      <c r="E138" s="424"/>
      <c r="F138" s="416"/>
    </row>
  </sheetData>
  <sheetProtection sheet="1"/>
  <mergeCells count="10">
    <mergeCell ref="B1:F1"/>
    <mergeCell ref="G4:I4"/>
    <mergeCell ref="F2:F138"/>
    <mergeCell ref="A2:E2"/>
    <mergeCell ref="A3:A4"/>
    <mergeCell ref="B3:C3"/>
    <mergeCell ref="A138:E138"/>
    <mergeCell ref="D3:D4"/>
    <mergeCell ref="E3:E4"/>
    <mergeCell ref="A5:E5"/>
  </mergeCells>
  <printOptions gridLines="1"/>
  <pageMargins left="0" right="0" top="0" bottom="0" header="0" footer="0"/>
  <pageSetup blackAndWhite="1" horizontalDpi="300" verticalDpi="300" orientation="portrait" scale="120" r:id="rId1"/>
</worksheet>
</file>

<file path=xl/worksheets/sheet23.xml><?xml version="1.0" encoding="utf-8"?>
<worksheet xmlns="http://schemas.openxmlformats.org/spreadsheetml/2006/main" xmlns:r="http://schemas.openxmlformats.org/officeDocument/2006/relationships">
  <sheetPr>
    <tabColor theme="5"/>
  </sheetPr>
  <dimension ref="A1:N193"/>
  <sheetViews>
    <sheetView zoomScale="89" zoomScaleNormal="89" zoomScalePageLayoutView="0" workbookViewId="0" topLeftCell="A1">
      <pane xSplit="8" ySplit="6" topLeftCell="I37" activePane="bottomRight" state="frozen"/>
      <selection pane="topLeft" activeCell="I39" sqref="I39"/>
      <selection pane="topRight" activeCell="I39" sqref="I39"/>
      <selection pane="bottomLeft" activeCell="I39" sqref="I39"/>
      <selection pane="bottomRight" activeCell="H6" sqref="H6:I6"/>
    </sheetView>
  </sheetViews>
  <sheetFormatPr defaultColWidth="9.140625" defaultRowHeight="12.75"/>
  <cols>
    <col min="1" max="1" width="17.7109375" style="120" customWidth="1"/>
    <col min="2" max="2" width="31.57421875" style="120" customWidth="1"/>
    <col min="3" max="3" width="9.57421875" style="120" customWidth="1"/>
    <col min="4" max="4" width="10.28125" style="120" customWidth="1"/>
    <col min="5" max="5" width="19.421875" style="119" customWidth="1"/>
    <col min="6" max="6" width="21.57421875" style="120" customWidth="1"/>
    <col min="7" max="7" width="2.28125" style="120" customWidth="1"/>
    <col min="8" max="8" width="22.00390625" style="120" customWidth="1"/>
    <col min="9" max="9" width="14.8515625" style="151" customWidth="1"/>
    <col min="10" max="10" width="2.7109375" style="120" customWidth="1"/>
    <col min="11" max="11" width="10.28125" style="182" bestFit="1" customWidth="1"/>
    <col min="12" max="12" width="10.28125" style="182" customWidth="1"/>
    <col min="13" max="13" width="13.140625" style="178" customWidth="1"/>
    <col min="14" max="14" width="14.00390625" style="181" customWidth="1"/>
    <col min="15" max="16" width="9.140625" style="178" customWidth="1"/>
    <col min="17" max="16384" width="9.140625" style="120" customWidth="1"/>
  </cols>
  <sheetData>
    <row r="1" spans="1:14" ht="15.75" customHeight="1">
      <c r="A1" s="118" t="s">
        <v>304</v>
      </c>
      <c r="B1" s="438" t="s">
        <v>420</v>
      </c>
      <c r="C1" s="438"/>
      <c r="D1" s="438"/>
      <c r="E1" s="438"/>
      <c r="F1" s="438"/>
      <c r="G1" s="439"/>
      <c r="H1" s="215" t="s">
        <v>385</v>
      </c>
      <c r="I1" s="216" t="s">
        <v>384</v>
      </c>
      <c r="J1" s="217"/>
      <c r="K1" s="177"/>
      <c r="L1" s="177"/>
      <c r="N1" s="179"/>
    </row>
    <row r="2" spans="1:12" ht="12" customHeight="1">
      <c r="A2" s="121"/>
      <c r="B2" s="440"/>
      <c r="C2" s="440"/>
      <c r="D2" s="440"/>
      <c r="E2" s="440"/>
      <c r="F2" s="440"/>
      <c r="G2" s="439"/>
      <c r="H2" s="441" t="s">
        <v>305</v>
      </c>
      <c r="I2" s="441"/>
      <c r="J2" s="218"/>
      <c r="K2" s="180"/>
      <c r="L2" s="180"/>
    </row>
    <row r="3" spans="1:10" ht="15" customHeight="1">
      <c r="A3" s="436"/>
      <c r="B3" s="442" t="s">
        <v>170</v>
      </c>
      <c r="C3" s="442" t="s">
        <v>171</v>
      </c>
      <c r="D3" s="442"/>
      <c r="E3" s="443"/>
      <c r="F3" s="444"/>
      <c r="G3" s="439"/>
      <c r="H3" s="441"/>
      <c r="I3" s="441"/>
      <c r="J3" s="218"/>
    </row>
    <row r="4" spans="1:12" ht="30" customHeight="1">
      <c r="A4" s="436"/>
      <c r="B4" s="442"/>
      <c r="C4" s="122" t="s">
        <v>174</v>
      </c>
      <c r="D4" s="122" t="s">
        <v>175</v>
      </c>
      <c r="E4" s="123" t="s">
        <v>172</v>
      </c>
      <c r="F4" s="123" t="s">
        <v>173</v>
      </c>
      <c r="G4" s="439"/>
      <c r="H4" s="445" t="s">
        <v>418</v>
      </c>
      <c r="I4" s="445"/>
      <c r="J4" s="218"/>
      <c r="K4" s="177"/>
      <c r="L4" s="177"/>
    </row>
    <row r="5" spans="1:13" ht="12.75" customHeight="1">
      <c r="A5" s="124"/>
      <c r="B5" s="437"/>
      <c r="C5" s="437"/>
      <c r="D5" s="437"/>
      <c r="E5" s="437"/>
      <c r="F5" s="437"/>
      <c r="G5" s="439"/>
      <c r="H5" s="125" t="s">
        <v>174</v>
      </c>
      <c r="I5" s="152" t="s">
        <v>175</v>
      </c>
      <c r="K5" s="183"/>
      <c r="L5" s="183"/>
      <c r="M5" s="184"/>
    </row>
    <row r="6" spans="1:12" ht="15" customHeight="1">
      <c r="A6" s="126" t="s">
        <v>306</v>
      </c>
      <c r="B6" s="430" t="s">
        <v>307</v>
      </c>
      <c r="C6" s="430"/>
      <c r="D6" s="430"/>
      <c r="E6" s="430"/>
      <c r="F6" s="430"/>
      <c r="G6" s="439"/>
      <c r="H6" s="219">
        <v>1.4</v>
      </c>
      <c r="I6" s="220">
        <v>1.32</v>
      </c>
      <c r="J6" s="218"/>
      <c r="K6" s="183"/>
      <c r="L6" s="183"/>
    </row>
    <row r="7" spans="1:14" ht="12.75" customHeight="1">
      <c r="A7" s="436"/>
      <c r="B7" s="127" t="s">
        <v>176</v>
      </c>
      <c r="C7" s="128">
        <f>(30.76*H6)</f>
        <v>43.064</v>
      </c>
      <c r="D7" s="128">
        <f>(0.62*I6)</f>
        <v>0.8184</v>
      </c>
      <c r="E7" s="129">
        <v>1</v>
      </c>
      <c r="F7" s="130">
        <f>(C7+D7)*E7</f>
        <v>43.8824</v>
      </c>
      <c r="G7" s="439"/>
      <c r="H7" s="182"/>
      <c r="I7" s="225" t="s">
        <v>419</v>
      </c>
      <c r="K7" s="185"/>
      <c r="N7" s="186"/>
    </row>
    <row r="8" spans="1:9" ht="12.75" customHeight="1">
      <c r="A8" s="436"/>
      <c r="B8" s="437"/>
      <c r="C8" s="437"/>
      <c r="D8" s="437"/>
      <c r="E8" s="437"/>
      <c r="F8" s="437"/>
      <c r="G8" s="439"/>
      <c r="H8" s="183"/>
      <c r="I8" s="183"/>
    </row>
    <row r="9" spans="1:9" ht="15" customHeight="1">
      <c r="A9" s="131" t="s">
        <v>306</v>
      </c>
      <c r="B9" s="430" t="s">
        <v>308</v>
      </c>
      <c r="C9" s="430"/>
      <c r="D9" s="430"/>
      <c r="E9" s="430"/>
      <c r="F9" s="430"/>
      <c r="G9" s="439"/>
      <c r="H9" s="183"/>
      <c r="I9" s="183"/>
    </row>
    <row r="10" spans="1:9" ht="12.75" customHeight="1">
      <c r="A10" s="431"/>
      <c r="B10" s="127" t="s">
        <v>177</v>
      </c>
      <c r="C10" s="128">
        <f>(0.92*H6)</f>
        <v>1.288</v>
      </c>
      <c r="D10" s="128">
        <f>(1.71*I6)</f>
        <v>2.2572</v>
      </c>
      <c r="E10" s="129">
        <v>1</v>
      </c>
      <c r="F10" s="130">
        <f>(C10+D10)*E10</f>
        <v>3.5452000000000004</v>
      </c>
      <c r="G10" s="439"/>
      <c r="H10" s="182"/>
      <c r="I10" s="183"/>
    </row>
    <row r="11" spans="1:9" ht="12.75" customHeight="1">
      <c r="A11" s="432"/>
      <c r="B11" s="127" t="s">
        <v>178</v>
      </c>
      <c r="C11" s="128">
        <f>(1.85*H6)</f>
        <v>2.59</v>
      </c>
      <c r="D11" s="128">
        <f>(3.41*I6)</f>
        <v>4.501200000000001</v>
      </c>
      <c r="E11" s="129">
        <v>1</v>
      </c>
      <c r="F11" s="130">
        <f>(C11+D11)*E11</f>
        <v>7.091200000000001</v>
      </c>
      <c r="G11" s="439"/>
      <c r="H11" s="182"/>
      <c r="I11" s="182"/>
    </row>
    <row r="12" spans="1:9" ht="12.75" customHeight="1">
      <c r="A12" s="433"/>
      <c r="B12" s="127" t="s">
        <v>179</v>
      </c>
      <c r="C12" s="128">
        <f>(4.62*H6)</f>
        <v>6.468</v>
      </c>
      <c r="D12" s="128">
        <f>(8.53*I6)</f>
        <v>11.259599999999999</v>
      </c>
      <c r="E12" s="129">
        <v>1</v>
      </c>
      <c r="F12" s="130">
        <f>(C12+D12)*E12</f>
        <v>17.7276</v>
      </c>
      <c r="G12" s="439"/>
      <c r="H12" s="182"/>
      <c r="I12" s="182"/>
    </row>
    <row r="13" spans="1:9" ht="12.75" customHeight="1">
      <c r="A13" s="124"/>
      <c r="B13" s="437"/>
      <c r="C13" s="437"/>
      <c r="D13" s="437"/>
      <c r="E13" s="437"/>
      <c r="F13" s="437"/>
      <c r="G13" s="439"/>
      <c r="H13" s="182"/>
      <c r="I13" s="182"/>
    </row>
    <row r="14" spans="1:9" ht="15" customHeight="1">
      <c r="A14" s="131" t="s">
        <v>306</v>
      </c>
      <c r="B14" s="430" t="s">
        <v>309</v>
      </c>
      <c r="C14" s="430"/>
      <c r="D14" s="430"/>
      <c r="E14" s="430"/>
      <c r="F14" s="430"/>
      <c r="G14" s="439"/>
      <c r="H14" s="183"/>
      <c r="I14" s="183"/>
    </row>
    <row r="15" spans="1:9" ht="12.75" customHeight="1">
      <c r="A15" s="431"/>
      <c r="B15" s="127" t="s">
        <v>180</v>
      </c>
      <c r="C15" s="128">
        <f>(4.62*H6)</f>
        <v>6.468</v>
      </c>
      <c r="D15" s="128">
        <f>(14.49*I6)</f>
        <v>19.126800000000003</v>
      </c>
      <c r="E15" s="129">
        <v>1</v>
      </c>
      <c r="F15" s="130">
        <f>(C15+D15)*E15</f>
        <v>25.594800000000003</v>
      </c>
      <c r="G15" s="439"/>
      <c r="H15" s="182"/>
      <c r="I15" s="183"/>
    </row>
    <row r="16" spans="1:9" ht="12.75" customHeight="1">
      <c r="A16" s="432"/>
      <c r="B16" s="127" t="s">
        <v>181</v>
      </c>
      <c r="C16" s="128">
        <f>(0.58*H6)</f>
        <v>0.8119999999999999</v>
      </c>
      <c r="D16" s="128">
        <f>(1.92*I6)</f>
        <v>2.5344</v>
      </c>
      <c r="E16" s="129">
        <v>1</v>
      </c>
      <c r="F16" s="130">
        <f>(C16+D16)*E16</f>
        <v>3.3464</v>
      </c>
      <c r="G16" s="439"/>
      <c r="H16" s="182"/>
      <c r="I16" s="182"/>
    </row>
    <row r="17" spans="1:9" ht="12.75" customHeight="1">
      <c r="A17" s="432"/>
      <c r="B17" s="127" t="s">
        <v>182</v>
      </c>
      <c r="C17" s="128">
        <f>(0.9*H6)</f>
        <v>1.26</v>
      </c>
      <c r="D17" s="128">
        <f>(2.98*I6)</f>
        <v>3.9336</v>
      </c>
      <c r="E17" s="129">
        <v>1</v>
      </c>
      <c r="F17" s="130">
        <f>(C17+D17)*E17</f>
        <v>5.1936</v>
      </c>
      <c r="G17" s="439"/>
      <c r="H17" s="182"/>
      <c r="I17" s="182"/>
    </row>
    <row r="18" spans="1:9" ht="12.75" customHeight="1">
      <c r="A18" s="432"/>
      <c r="B18" s="127" t="s">
        <v>183</v>
      </c>
      <c r="C18" s="128">
        <f>(0.9*H6)</f>
        <v>1.26</v>
      </c>
      <c r="D18" s="128">
        <f>(2.98*I6)</f>
        <v>3.9336</v>
      </c>
      <c r="E18" s="129">
        <v>1</v>
      </c>
      <c r="F18" s="130">
        <f>(C18+D18)*E18</f>
        <v>5.1936</v>
      </c>
      <c r="G18" s="439"/>
      <c r="H18" s="182"/>
      <c r="I18" s="182"/>
    </row>
    <row r="19" spans="1:9" ht="12.75" customHeight="1">
      <c r="A19" s="432"/>
      <c r="B19" s="127" t="s">
        <v>184</v>
      </c>
      <c r="C19" s="128">
        <f>(0.58*H6)</f>
        <v>0.8119999999999999</v>
      </c>
      <c r="D19" s="128">
        <f>(1.92*I6)</f>
        <v>2.5344</v>
      </c>
      <c r="E19" s="129">
        <v>1</v>
      </c>
      <c r="F19" s="130">
        <f>(C19+D19)*E19</f>
        <v>3.3464</v>
      </c>
      <c r="G19" s="439"/>
      <c r="H19" s="182"/>
      <c r="I19" s="193"/>
    </row>
    <row r="20" spans="1:9" ht="12.75" customHeight="1">
      <c r="A20" s="432"/>
      <c r="B20" s="127" t="s">
        <v>185</v>
      </c>
      <c r="C20" s="128">
        <f>(0.77*H6)</f>
        <v>1.0779999999999998</v>
      </c>
      <c r="D20" s="128">
        <f>(2.56*I6)</f>
        <v>3.3792000000000004</v>
      </c>
      <c r="E20" s="129">
        <v>1</v>
      </c>
      <c r="F20" s="130">
        <f aca="true" t="shared" si="0" ref="F20:F31">(C20+D20)*E20</f>
        <v>4.4572</v>
      </c>
      <c r="G20" s="439"/>
      <c r="H20" s="182"/>
      <c r="I20" s="182"/>
    </row>
    <row r="21" spans="1:9" ht="12.75" customHeight="1">
      <c r="A21" s="432"/>
      <c r="B21" s="127" t="s">
        <v>186</v>
      </c>
      <c r="C21" s="128">
        <f>(0.77*H6)</f>
        <v>1.0779999999999998</v>
      </c>
      <c r="D21" s="128">
        <f>(2.56*I6)</f>
        <v>3.3792000000000004</v>
      </c>
      <c r="E21" s="129">
        <v>1</v>
      </c>
      <c r="F21" s="130">
        <f t="shared" si="0"/>
        <v>4.4572</v>
      </c>
      <c r="G21" s="439"/>
      <c r="H21" s="182"/>
      <c r="I21" s="182"/>
    </row>
    <row r="22" spans="1:9" ht="12.75" customHeight="1">
      <c r="A22" s="432"/>
      <c r="B22" s="127" t="s">
        <v>187</v>
      </c>
      <c r="C22" s="128">
        <f>(0.83*H6)</f>
        <v>1.162</v>
      </c>
      <c r="D22" s="128">
        <f>(2.77*I6)</f>
        <v>3.6564</v>
      </c>
      <c r="E22" s="129">
        <v>1</v>
      </c>
      <c r="F22" s="130">
        <f t="shared" si="0"/>
        <v>4.8184000000000005</v>
      </c>
      <c r="G22" s="439"/>
      <c r="H22" s="182"/>
      <c r="I22" s="182"/>
    </row>
    <row r="23" spans="1:9" ht="12.75" customHeight="1">
      <c r="A23" s="432"/>
      <c r="B23" s="127" t="s">
        <v>188</v>
      </c>
      <c r="C23" s="128">
        <f>(0.96*H6)</f>
        <v>1.3439999999999999</v>
      </c>
      <c r="D23" s="128">
        <f>(3.2*I6)</f>
        <v>4.224</v>
      </c>
      <c r="E23" s="129">
        <v>1</v>
      </c>
      <c r="F23" s="130">
        <f t="shared" si="0"/>
        <v>5.568</v>
      </c>
      <c r="G23" s="439"/>
      <c r="H23" s="182"/>
      <c r="I23" s="182"/>
    </row>
    <row r="24" spans="1:9" ht="12.75" customHeight="1">
      <c r="A24" s="432"/>
      <c r="B24" s="127" t="s">
        <v>189</v>
      </c>
      <c r="C24" s="128">
        <f>(0.96*H6)</f>
        <v>1.3439999999999999</v>
      </c>
      <c r="D24" s="128">
        <f>(3.2*I6)</f>
        <v>4.224</v>
      </c>
      <c r="E24" s="129">
        <v>1</v>
      </c>
      <c r="F24" s="130">
        <f t="shared" si="0"/>
        <v>5.568</v>
      </c>
      <c r="G24" s="439"/>
      <c r="H24" s="182"/>
      <c r="I24" s="182"/>
    </row>
    <row r="25" spans="1:9" ht="12.75" customHeight="1">
      <c r="A25" s="432"/>
      <c r="B25" s="127" t="s">
        <v>190</v>
      </c>
      <c r="C25" s="128">
        <f>(1.03*H6)</f>
        <v>1.442</v>
      </c>
      <c r="D25" s="128">
        <f>(3.41*I6)</f>
        <v>4.501200000000001</v>
      </c>
      <c r="E25" s="129">
        <v>1</v>
      </c>
      <c r="F25" s="130">
        <f t="shared" si="0"/>
        <v>5.943200000000001</v>
      </c>
      <c r="G25" s="439"/>
      <c r="H25" s="182"/>
      <c r="I25" s="182"/>
    </row>
    <row r="26" spans="1:9" ht="12.75" customHeight="1">
      <c r="A26" s="432"/>
      <c r="B26" s="127" t="s">
        <v>191</v>
      </c>
      <c r="C26" s="128">
        <f>(1.54*H6)</f>
        <v>2.1559999999999997</v>
      </c>
      <c r="D26" s="128">
        <f>(5.12*I6)</f>
        <v>6.758400000000001</v>
      </c>
      <c r="E26" s="129">
        <v>1</v>
      </c>
      <c r="F26" s="130">
        <f t="shared" si="0"/>
        <v>8.9144</v>
      </c>
      <c r="G26" s="439"/>
      <c r="H26" s="182"/>
      <c r="I26" s="182"/>
    </row>
    <row r="27" spans="1:9" ht="12.75" customHeight="1">
      <c r="A27" s="432"/>
      <c r="B27" s="127" t="s">
        <v>192</v>
      </c>
      <c r="C27" s="128">
        <f>(2.43*H6)</f>
        <v>3.402</v>
      </c>
      <c r="D27" s="128">
        <f>(8.06*I6)</f>
        <v>10.6392</v>
      </c>
      <c r="E27" s="129">
        <v>1</v>
      </c>
      <c r="F27" s="130">
        <f t="shared" si="0"/>
        <v>14.0412</v>
      </c>
      <c r="G27" s="439"/>
      <c r="H27" s="182"/>
      <c r="I27" s="182"/>
    </row>
    <row r="28" spans="1:9" ht="12.75" customHeight="1">
      <c r="A28" s="432"/>
      <c r="B28" s="127" t="s">
        <v>193</v>
      </c>
      <c r="C28" s="128">
        <f>(2.43*H6)</f>
        <v>3.402</v>
      </c>
      <c r="D28" s="128">
        <f>(8.06*I6)</f>
        <v>10.6392</v>
      </c>
      <c r="E28" s="129">
        <v>1</v>
      </c>
      <c r="F28" s="130">
        <f t="shared" si="0"/>
        <v>14.0412</v>
      </c>
      <c r="G28" s="439"/>
      <c r="H28" s="182"/>
      <c r="I28" s="182"/>
    </row>
    <row r="29" spans="1:9" ht="12.75" customHeight="1">
      <c r="A29" s="432"/>
      <c r="B29" s="127" t="s">
        <v>194</v>
      </c>
      <c r="C29" s="128">
        <f>(1.22*H6)</f>
        <v>1.708</v>
      </c>
      <c r="D29" s="128">
        <f>(4.05*I6)</f>
        <v>5.346</v>
      </c>
      <c r="E29" s="129">
        <v>1</v>
      </c>
      <c r="F29" s="130">
        <f t="shared" si="0"/>
        <v>7.054</v>
      </c>
      <c r="G29" s="439"/>
      <c r="H29" s="182"/>
      <c r="I29" s="182"/>
    </row>
    <row r="30" spans="1:9" ht="12.75" customHeight="1">
      <c r="A30" s="432"/>
      <c r="B30" s="127" t="s">
        <v>195</v>
      </c>
      <c r="C30" s="128">
        <f>(0.58*H6)</f>
        <v>0.8119999999999999</v>
      </c>
      <c r="D30" s="128">
        <f>(1.92*I6)</f>
        <v>2.5344</v>
      </c>
      <c r="E30" s="129">
        <v>1</v>
      </c>
      <c r="F30" s="130">
        <f t="shared" si="0"/>
        <v>3.3464</v>
      </c>
      <c r="G30" s="439"/>
      <c r="H30" s="182"/>
      <c r="I30" s="182"/>
    </row>
    <row r="31" spans="1:9" ht="12.75" customHeight="1">
      <c r="A31" s="433"/>
      <c r="B31" s="127" t="s">
        <v>196</v>
      </c>
      <c r="C31" s="128">
        <f>(0.26*H6)</f>
        <v>0.364</v>
      </c>
      <c r="D31" s="128">
        <f>(0.85*I6)</f>
        <v>1.122</v>
      </c>
      <c r="E31" s="129">
        <v>1</v>
      </c>
      <c r="F31" s="130">
        <f t="shared" si="0"/>
        <v>1.4860000000000002</v>
      </c>
      <c r="G31" s="439"/>
      <c r="H31" s="182"/>
      <c r="I31" s="182"/>
    </row>
    <row r="32" spans="1:9" ht="12.75" customHeight="1">
      <c r="A32" s="124"/>
      <c r="B32" s="437"/>
      <c r="C32" s="437"/>
      <c r="D32" s="437"/>
      <c r="E32" s="437"/>
      <c r="F32" s="437"/>
      <c r="G32" s="439"/>
      <c r="H32" s="182"/>
      <c r="I32" s="182"/>
    </row>
    <row r="33" spans="1:9" ht="15" customHeight="1">
      <c r="A33" s="131" t="s">
        <v>306</v>
      </c>
      <c r="B33" s="430" t="s">
        <v>310</v>
      </c>
      <c r="C33" s="430"/>
      <c r="D33" s="430"/>
      <c r="E33" s="430"/>
      <c r="F33" s="430"/>
      <c r="G33" s="439"/>
      <c r="H33" s="182"/>
      <c r="I33" s="182"/>
    </row>
    <row r="34" spans="1:9" ht="12.75" customHeight="1">
      <c r="A34" s="431"/>
      <c r="B34" s="127" t="s">
        <v>197</v>
      </c>
      <c r="C34" s="128">
        <f>(4.73*H6)</f>
        <v>6.622</v>
      </c>
      <c r="D34" s="128">
        <f>(10.3*I6)</f>
        <v>13.596000000000002</v>
      </c>
      <c r="E34" s="129">
        <v>1</v>
      </c>
      <c r="F34" s="130">
        <f>(C34+D34)*E34</f>
        <v>20.218000000000004</v>
      </c>
      <c r="G34" s="439"/>
      <c r="H34" s="182"/>
      <c r="I34" s="182"/>
    </row>
    <row r="35" spans="1:9" ht="12.75" customHeight="1">
      <c r="A35" s="432"/>
      <c r="B35" s="127" t="s">
        <v>198</v>
      </c>
      <c r="C35" s="128">
        <f>(9.1*H6)</f>
        <v>12.739999999999998</v>
      </c>
      <c r="D35" s="128">
        <f>(7.08*I6)</f>
        <v>9.345600000000001</v>
      </c>
      <c r="E35" s="129">
        <v>1</v>
      </c>
      <c r="F35" s="130">
        <f>(C35+D35)*E35</f>
        <v>22.0856</v>
      </c>
      <c r="G35" s="439"/>
      <c r="H35" s="182"/>
      <c r="I35" s="182"/>
    </row>
    <row r="36" spans="1:13" ht="12.75" customHeight="1">
      <c r="A36" s="432"/>
      <c r="B36" s="127" t="s">
        <v>199</v>
      </c>
      <c r="C36" s="128">
        <f>(7.9*H6)</f>
        <v>11.06</v>
      </c>
      <c r="D36" s="128">
        <f>(6.14*I6)</f>
        <v>8.1048</v>
      </c>
      <c r="E36" s="129">
        <v>1</v>
      </c>
      <c r="F36" s="130">
        <f>(C36+D36)*E36</f>
        <v>19.1648</v>
      </c>
      <c r="G36" s="439"/>
      <c r="H36" s="182"/>
      <c r="I36" s="182"/>
      <c r="M36" s="187"/>
    </row>
    <row r="37" spans="1:13" ht="12.75" customHeight="1">
      <c r="A37" s="432"/>
      <c r="B37" s="127" t="s">
        <v>200</v>
      </c>
      <c r="C37" s="128">
        <f>(11.51*H6)</f>
        <v>16.113999999999997</v>
      </c>
      <c r="D37" s="128">
        <f>(8.95*I6)</f>
        <v>11.814</v>
      </c>
      <c r="E37" s="129">
        <v>1</v>
      </c>
      <c r="F37" s="130">
        <f>(C37+D37)*E37</f>
        <v>27.927999999999997</v>
      </c>
      <c r="G37" s="439"/>
      <c r="H37" s="182"/>
      <c r="I37" s="182"/>
      <c r="M37" s="187"/>
    </row>
    <row r="38" spans="1:9" ht="12.75" customHeight="1">
      <c r="A38" s="433"/>
      <c r="B38" s="127" t="s">
        <v>201</v>
      </c>
      <c r="C38" s="128">
        <f>(1.51*H6)</f>
        <v>2.114</v>
      </c>
      <c r="D38" s="128">
        <f>(1.71*I6)</f>
        <v>2.2572</v>
      </c>
      <c r="E38" s="129">
        <v>1</v>
      </c>
      <c r="F38" s="130">
        <f>(C38+D38)*E38</f>
        <v>4.3712</v>
      </c>
      <c r="G38" s="439"/>
      <c r="H38" s="182"/>
      <c r="I38" s="182"/>
    </row>
    <row r="39" spans="1:9" ht="12.75" customHeight="1">
      <c r="A39" s="124"/>
      <c r="B39" s="434"/>
      <c r="C39" s="434"/>
      <c r="D39" s="434"/>
      <c r="E39" s="434"/>
      <c r="F39" s="434"/>
      <c r="G39" s="439"/>
      <c r="H39" s="182"/>
      <c r="I39" s="182"/>
    </row>
    <row r="40" spans="1:9" ht="15" customHeight="1">
      <c r="A40" s="131" t="s">
        <v>306</v>
      </c>
      <c r="B40" s="430" t="s">
        <v>311</v>
      </c>
      <c r="C40" s="430"/>
      <c r="D40" s="430"/>
      <c r="E40" s="430"/>
      <c r="F40" s="430"/>
      <c r="G40" s="439"/>
      <c r="H40" s="182"/>
      <c r="I40" s="182"/>
    </row>
    <row r="41" spans="1:13" ht="12.75" customHeight="1">
      <c r="A41" s="436"/>
      <c r="B41" s="127" t="s">
        <v>202</v>
      </c>
      <c r="C41" s="128">
        <f>(45.77*H6)</f>
        <v>64.078</v>
      </c>
      <c r="D41" s="128">
        <f>(54.72*I6)</f>
        <v>72.2304</v>
      </c>
      <c r="E41" s="129">
        <v>1</v>
      </c>
      <c r="F41" s="130">
        <f>(C41+D41)*E41</f>
        <v>136.3084</v>
      </c>
      <c r="G41" s="439"/>
      <c r="H41" s="182"/>
      <c r="I41" s="182"/>
      <c r="M41" s="187"/>
    </row>
    <row r="42" spans="1:9" ht="12.75" customHeight="1">
      <c r="A42" s="436"/>
      <c r="B42" s="127" t="s">
        <v>203</v>
      </c>
      <c r="C42" s="128">
        <f>(33.65*H6)</f>
        <v>47.10999999999999</v>
      </c>
      <c r="D42" s="128">
        <f>(16.42*I6)</f>
        <v>21.674400000000002</v>
      </c>
      <c r="E42" s="129">
        <v>1</v>
      </c>
      <c r="F42" s="130">
        <f>(C42+D42)*E42</f>
        <v>68.78439999999999</v>
      </c>
      <c r="G42" s="439"/>
      <c r="H42" s="182"/>
      <c r="I42" s="182"/>
    </row>
    <row r="43" spans="1:9" ht="12.75" customHeight="1">
      <c r="A43" s="124"/>
      <c r="B43" s="434"/>
      <c r="C43" s="434"/>
      <c r="D43" s="434"/>
      <c r="E43" s="434"/>
      <c r="F43" s="434"/>
      <c r="G43" s="439"/>
      <c r="H43" s="182"/>
      <c r="I43" s="182"/>
    </row>
    <row r="44" spans="1:9" ht="15" customHeight="1">
      <c r="A44" s="131" t="s">
        <v>306</v>
      </c>
      <c r="B44" s="430" t="s">
        <v>312</v>
      </c>
      <c r="C44" s="430"/>
      <c r="D44" s="430"/>
      <c r="E44" s="430"/>
      <c r="F44" s="430"/>
      <c r="G44" s="439"/>
      <c r="H44" s="182"/>
      <c r="I44" s="182"/>
    </row>
    <row r="45" spans="1:9" ht="12.75" customHeight="1">
      <c r="A45" s="431"/>
      <c r="B45" s="127" t="s">
        <v>204</v>
      </c>
      <c r="C45" s="128">
        <f>(1.95*H6)</f>
        <v>2.73</v>
      </c>
      <c r="D45" s="128">
        <f>(2.56*I6)</f>
        <v>3.3792000000000004</v>
      </c>
      <c r="E45" s="129">
        <v>1</v>
      </c>
      <c r="F45" s="130">
        <f aca="true" t="shared" si="1" ref="F45:F51">(C45+D45)*E45</f>
        <v>6.1092</v>
      </c>
      <c r="G45" s="439"/>
      <c r="H45" s="182"/>
      <c r="I45" s="182"/>
    </row>
    <row r="46" spans="1:9" ht="12.75" customHeight="1">
      <c r="A46" s="432"/>
      <c r="B46" s="127" t="s">
        <v>205</v>
      </c>
      <c r="C46" s="128">
        <f>(2.59*H6)</f>
        <v>3.6259999999999994</v>
      </c>
      <c r="D46" s="128">
        <f>(3.41*I6)</f>
        <v>4.501200000000001</v>
      </c>
      <c r="E46" s="129">
        <v>1</v>
      </c>
      <c r="F46" s="130">
        <f t="shared" si="1"/>
        <v>8.1272</v>
      </c>
      <c r="G46" s="439"/>
      <c r="H46" s="182"/>
      <c r="I46" s="182"/>
    </row>
    <row r="47" spans="1:9" ht="12.75" customHeight="1">
      <c r="A47" s="432"/>
      <c r="B47" s="127" t="s">
        <v>118</v>
      </c>
      <c r="C47" s="128">
        <f>(2.59*H6)</f>
        <v>3.6259999999999994</v>
      </c>
      <c r="D47" s="128">
        <f>(3.41*I6)</f>
        <v>4.501200000000001</v>
      </c>
      <c r="E47" s="129">
        <v>1</v>
      </c>
      <c r="F47" s="130">
        <f t="shared" si="1"/>
        <v>8.1272</v>
      </c>
      <c r="G47" s="439"/>
      <c r="H47" s="182"/>
      <c r="I47" s="182"/>
    </row>
    <row r="48" spans="1:9" ht="12.75" customHeight="1">
      <c r="A48" s="432"/>
      <c r="B48" s="127" t="s">
        <v>206</v>
      </c>
      <c r="C48" s="128">
        <f>(1.56*H6)</f>
        <v>2.1839999999999997</v>
      </c>
      <c r="D48" s="128">
        <f>(2.05*I6)</f>
        <v>2.706</v>
      </c>
      <c r="E48" s="129">
        <v>1</v>
      </c>
      <c r="F48" s="130">
        <f t="shared" si="1"/>
        <v>4.89</v>
      </c>
      <c r="G48" s="439"/>
      <c r="H48" s="182"/>
      <c r="I48" s="182"/>
    </row>
    <row r="49" spans="1:9" ht="12.75" customHeight="1">
      <c r="A49" s="432"/>
      <c r="B49" s="127" t="s">
        <v>207</v>
      </c>
      <c r="C49" s="128">
        <f>(1.17*H6)</f>
        <v>1.638</v>
      </c>
      <c r="D49" s="128">
        <f>(1.53*I6)</f>
        <v>2.0196</v>
      </c>
      <c r="E49" s="129">
        <v>1</v>
      </c>
      <c r="F49" s="130">
        <f t="shared" si="1"/>
        <v>3.6576</v>
      </c>
      <c r="G49" s="439"/>
      <c r="H49" s="182"/>
      <c r="I49" s="182"/>
    </row>
    <row r="50" spans="1:9" ht="12.75" customHeight="1">
      <c r="A50" s="432"/>
      <c r="B50" s="127" t="s">
        <v>208</v>
      </c>
      <c r="C50" s="128">
        <f>(2.79*H6)</f>
        <v>3.9059999999999997</v>
      </c>
      <c r="D50" s="128">
        <f>(3.67*I6)</f>
        <v>4.8444</v>
      </c>
      <c r="E50" s="129">
        <v>1</v>
      </c>
      <c r="F50" s="130">
        <f t="shared" si="1"/>
        <v>8.750399999999999</v>
      </c>
      <c r="G50" s="439"/>
      <c r="H50" s="182"/>
      <c r="I50" s="182"/>
    </row>
    <row r="51" spans="1:9" ht="12.75" customHeight="1">
      <c r="A51" s="433"/>
      <c r="B51" s="127" t="s">
        <v>209</v>
      </c>
      <c r="C51" s="128">
        <f>(0.71*H6)</f>
        <v>0.9939999999999999</v>
      </c>
      <c r="D51" s="128">
        <f>(0.94*I6)</f>
        <v>1.2408</v>
      </c>
      <c r="E51" s="129">
        <v>1</v>
      </c>
      <c r="F51" s="130">
        <f t="shared" si="1"/>
        <v>2.2348</v>
      </c>
      <c r="G51" s="439"/>
      <c r="H51" s="182"/>
      <c r="I51" s="182"/>
    </row>
    <row r="52" spans="1:9" ht="12.75" customHeight="1">
      <c r="A52" s="124"/>
      <c r="B52" s="434"/>
      <c r="C52" s="434"/>
      <c r="D52" s="434"/>
      <c r="E52" s="434"/>
      <c r="F52" s="434"/>
      <c r="G52" s="439"/>
      <c r="H52" s="182"/>
      <c r="I52" s="182"/>
    </row>
    <row r="53" spans="1:9" ht="15" customHeight="1">
      <c r="A53" s="131" t="s">
        <v>306</v>
      </c>
      <c r="B53" s="430" t="s">
        <v>313</v>
      </c>
      <c r="C53" s="430"/>
      <c r="D53" s="430"/>
      <c r="E53" s="430"/>
      <c r="F53" s="430"/>
      <c r="G53" s="439"/>
      <c r="H53" s="182"/>
      <c r="I53" s="182"/>
    </row>
    <row r="54" spans="1:9" ht="12.75" customHeight="1">
      <c r="A54" s="436"/>
      <c r="B54" s="127" t="s">
        <v>210</v>
      </c>
      <c r="C54" s="128">
        <f>(3.28*H6)</f>
        <v>4.592</v>
      </c>
      <c r="D54" s="128">
        <f>(4.26*I6)</f>
        <v>5.6232</v>
      </c>
      <c r="E54" s="129">
        <v>1</v>
      </c>
      <c r="F54" s="130">
        <f>(C54+D54)*E54</f>
        <v>10.2152</v>
      </c>
      <c r="G54" s="439"/>
      <c r="H54" s="182"/>
      <c r="I54" s="182"/>
    </row>
    <row r="55" spans="1:9" ht="12.75" customHeight="1">
      <c r="A55" s="436"/>
      <c r="B55" s="127" t="s">
        <v>211</v>
      </c>
      <c r="C55" s="128">
        <f>(1.31*H6)</f>
        <v>1.8339999999999999</v>
      </c>
      <c r="D55" s="128">
        <f>(1.71*I6)</f>
        <v>2.2572</v>
      </c>
      <c r="E55" s="129">
        <v>1</v>
      </c>
      <c r="F55" s="130">
        <f>(C55+D55)*E55</f>
        <v>4.0912</v>
      </c>
      <c r="G55" s="439"/>
      <c r="H55" s="182"/>
      <c r="I55" s="182"/>
    </row>
    <row r="56" spans="1:9" ht="12.75" customHeight="1">
      <c r="A56" s="124"/>
      <c r="B56" s="434"/>
      <c r="C56" s="434"/>
      <c r="D56" s="434"/>
      <c r="E56" s="434"/>
      <c r="F56" s="434"/>
      <c r="G56" s="439"/>
      <c r="H56" s="182"/>
      <c r="I56" s="182"/>
    </row>
    <row r="57" spans="1:9" ht="15" customHeight="1">
      <c r="A57" s="131" t="s">
        <v>306</v>
      </c>
      <c r="B57" s="430" t="s">
        <v>314</v>
      </c>
      <c r="C57" s="430"/>
      <c r="D57" s="430"/>
      <c r="E57" s="430"/>
      <c r="F57" s="430"/>
      <c r="G57" s="439"/>
      <c r="H57" s="182"/>
      <c r="I57" s="182"/>
    </row>
    <row r="58" spans="1:9" ht="12.75" customHeight="1">
      <c r="A58" s="431"/>
      <c r="B58" s="127" t="s">
        <v>212</v>
      </c>
      <c r="C58" s="128">
        <f>(20.89*H6)</f>
        <v>29.246</v>
      </c>
      <c r="D58" s="128">
        <f>(6.46*I6)</f>
        <v>8.5272</v>
      </c>
      <c r="E58" s="129">
        <v>1</v>
      </c>
      <c r="F58" s="130">
        <f aca="true" t="shared" si="2" ref="F58:F96">(C58+D58)*E58</f>
        <v>37.7732</v>
      </c>
      <c r="G58" s="439"/>
      <c r="H58" s="182"/>
      <c r="I58" s="182"/>
    </row>
    <row r="59" spans="1:9" ht="12.75" customHeight="1">
      <c r="A59" s="432"/>
      <c r="B59" s="127" t="s">
        <v>213</v>
      </c>
      <c r="C59" s="128">
        <f>(10.81*H6)</f>
        <v>15.134</v>
      </c>
      <c r="D59" s="128">
        <f>(7.12*I6)</f>
        <v>9.3984</v>
      </c>
      <c r="E59" s="129">
        <v>1</v>
      </c>
      <c r="F59" s="130">
        <f t="shared" si="2"/>
        <v>24.532400000000003</v>
      </c>
      <c r="G59" s="439"/>
      <c r="H59" s="182"/>
      <c r="I59" s="182"/>
    </row>
    <row r="60" spans="1:9" ht="12.75" customHeight="1">
      <c r="A60" s="432"/>
      <c r="B60" s="127" t="s">
        <v>214</v>
      </c>
      <c r="C60" s="128">
        <f>(10.81*H6)</f>
        <v>15.134</v>
      </c>
      <c r="D60" s="128">
        <f>(7.12*I6)</f>
        <v>9.3984</v>
      </c>
      <c r="E60" s="129">
        <v>1</v>
      </c>
      <c r="F60" s="130">
        <f t="shared" si="2"/>
        <v>24.532400000000003</v>
      </c>
      <c r="G60" s="439"/>
      <c r="H60" s="182"/>
      <c r="I60" s="182"/>
    </row>
    <row r="61" spans="1:9" ht="12.75" customHeight="1">
      <c r="A61" s="432"/>
      <c r="B61" s="127" t="s">
        <v>215</v>
      </c>
      <c r="C61" s="128">
        <f>(4.54*H6)</f>
        <v>6.356</v>
      </c>
      <c r="D61" s="128">
        <f>(9.55*I6)</f>
        <v>12.606000000000002</v>
      </c>
      <c r="E61" s="129">
        <v>1</v>
      </c>
      <c r="F61" s="130">
        <f t="shared" si="2"/>
        <v>18.962000000000003</v>
      </c>
      <c r="G61" s="439"/>
      <c r="H61" s="182"/>
      <c r="I61" s="182"/>
    </row>
    <row r="62" spans="1:9" ht="12.75" customHeight="1">
      <c r="A62" s="432"/>
      <c r="B62" s="127" t="s">
        <v>216</v>
      </c>
      <c r="C62" s="128">
        <f>(1.09*H6)</f>
        <v>1.526</v>
      </c>
      <c r="D62" s="128">
        <f>(2.51*I6)</f>
        <v>3.3131999999999997</v>
      </c>
      <c r="E62" s="129">
        <v>1</v>
      </c>
      <c r="F62" s="130">
        <f t="shared" si="2"/>
        <v>4.8392</v>
      </c>
      <c r="G62" s="439"/>
      <c r="H62" s="182"/>
      <c r="I62" s="182"/>
    </row>
    <row r="63" spans="1:9" ht="12.75" customHeight="1">
      <c r="A63" s="432"/>
      <c r="B63" s="127" t="s">
        <v>122</v>
      </c>
      <c r="C63" s="128">
        <f>(0.33*H6)</f>
        <v>0.46199999999999997</v>
      </c>
      <c r="D63" s="128">
        <f>(1.36*I6)</f>
        <v>1.7952000000000001</v>
      </c>
      <c r="E63" s="129">
        <v>1</v>
      </c>
      <c r="F63" s="130">
        <f t="shared" si="2"/>
        <v>2.2572</v>
      </c>
      <c r="G63" s="439"/>
      <c r="H63" s="182"/>
      <c r="I63" s="182"/>
    </row>
    <row r="64" spans="1:9" ht="12.75" customHeight="1">
      <c r="A64" s="432"/>
      <c r="B64" s="127" t="s">
        <v>217</v>
      </c>
      <c r="C64" s="128">
        <f>(2.12*H6)</f>
        <v>2.968</v>
      </c>
      <c r="D64" s="128">
        <f>(16.28*I6)</f>
        <v>21.489600000000003</v>
      </c>
      <c r="E64" s="129">
        <v>1</v>
      </c>
      <c r="F64" s="130">
        <f t="shared" si="2"/>
        <v>24.457600000000003</v>
      </c>
      <c r="G64" s="439"/>
      <c r="H64" s="182"/>
      <c r="I64" s="182"/>
    </row>
    <row r="65" spans="1:9" ht="12.75" customHeight="1">
      <c r="A65" s="432"/>
      <c r="B65" s="127" t="s">
        <v>218</v>
      </c>
      <c r="C65" s="128">
        <f>(2.4*H6)</f>
        <v>3.36</v>
      </c>
      <c r="D65" s="128">
        <f>(3.29*I6)</f>
        <v>4.3428</v>
      </c>
      <c r="E65" s="129">
        <v>1</v>
      </c>
      <c r="F65" s="130">
        <f t="shared" si="2"/>
        <v>7.7028</v>
      </c>
      <c r="G65" s="439"/>
      <c r="H65" s="182"/>
      <c r="I65" s="182"/>
    </row>
    <row r="66" spans="1:13" ht="12.75" customHeight="1">
      <c r="A66" s="432"/>
      <c r="B66" s="127" t="s">
        <v>219</v>
      </c>
      <c r="C66" s="128">
        <f>(5.99*H6)</f>
        <v>8.386</v>
      </c>
      <c r="D66" s="128">
        <f>(8.22*I6)</f>
        <v>10.8504</v>
      </c>
      <c r="E66" s="129">
        <v>1</v>
      </c>
      <c r="F66" s="130">
        <f t="shared" si="2"/>
        <v>19.2364</v>
      </c>
      <c r="G66" s="439"/>
      <c r="H66" s="182"/>
      <c r="I66" s="182"/>
      <c r="M66" s="187"/>
    </row>
    <row r="67" spans="1:9" ht="12.75" customHeight="1">
      <c r="A67" s="432"/>
      <c r="B67" s="127" t="s">
        <v>220</v>
      </c>
      <c r="C67" s="128">
        <f>(1.6*H6)</f>
        <v>2.2399999999999998</v>
      </c>
      <c r="D67" s="128">
        <f>(3.98*I6)</f>
        <v>5.2536000000000005</v>
      </c>
      <c r="E67" s="129">
        <v>1</v>
      </c>
      <c r="F67" s="130">
        <f t="shared" si="2"/>
        <v>7.493600000000001</v>
      </c>
      <c r="G67" s="439"/>
      <c r="H67" s="182"/>
      <c r="I67" s="182"/>
    </row>
    <row r="68" spans="1:9" ht="12.75" customHeight="1">
      <c r="A68" s="432"/>
      <c r="B68" s="127" t="s">
        <v>221</v>
      </c>
      <c r="C68" s="128">
        <f>(0.81*H6)</f>
        <v>1.134</v>
      </c>
      <c r="D68" s="128">
        <f>(3.8*I6)</f>
        <v>5.016</v>
      </c>
      <c r="E68" s="129">
        <v>1</v>
      </c>
      <c r="F68" s="130">
        <f t="shared" si="2"/>
        <v>6.15</v>
      </c>
      <c r="G68" s="439"/>
      <c r="H68" s="182"/>
      <c r="I68" s="182"/>
    </row>
    <row r="69" spans="1:9" ht="12.75" customHeight="1">
      <c r="A69" s="432"/>
      <c r="B69" s="127" t="s">
        <v>222</v>
      </c>
      <c r="C69" s="128">
        <f>(1.28*H6)</f>
        <v>1.7919999999999998</v>
      </c>
      <c r="D69" s="128">
        <f>(2.45*I6)</f>
        <v>3.2340000000000004</v>
      </c>
      <c r="E69" s="129">
        <v>1</v>
      </c>
      <c r="F69" s="130">
        <f t="shared" si="2"/>
        <v>5.026</v>
      </c>
      <c r="G69" s="439"/>
      <c r="H69" s="182"/>
      <c r="I69" s="182"/>
    </row>
    <row r="70" spans="1:9" ht="12.75" customHeight="1">
      <c r="A70" s="432"/>
      <c r="B70" s="127" t="s">
        <v>223</v>
      </c>
      <c r="C70" s="128">
        <f>(0.4*H6)</f>
        <v>0.5599999999999999</v>
      </c>
      <c r="D70" s="128">
        <f>(0.68*I6)</f>
        <v>0.8976000000000001</v>
      </c>
      <c r="E70" s="129">
        <v>1</v>
      </c>
      <c r="F70" s="130">
        <f t="shared" si="2"/>
        <v>1.4576</v>
      </c>
      <c r="G70" s="439"/>
      <c r="H70" s="182"/>
      <c r="I70" s="182"/>
    </row>
    <row r="71" spans="1:9" ht="12.75" customHeight="1">
      <c r="A71" s="432"/>
      <c r="B71" s="127" t="s">
        <v>224</v>
      </c>
      <c r="C71" s="128">
        <f>(2.01*H6)</f>
        <v>2.8139999999999996</v>
      </c>
      <c r="D71" s="128">
        <f>(2.02*I6)</f>
        <v>2.6664000000000003</v>
      </c>
      <c r="E71" s="129">
        <v>1</v>
      </c>
      <c r="F71" s="130">
        <f t="shared" si="2"/>
        <v>5.4803999999999995</v>
      </c>
      <c r="G71" s="439"/>
      <c r="H71" s="182"/>
      <c r="I71" s="182"/>
    </row>
    <row r="72" spans="1:9" ht="12.75" customHeight="1">
      <c r="A72" s="432"/>
      <c r="B72" s="127" t="s">
        <v>225</v>
      </c>
      <c r="C72" s="128">
        <f>(4.53*H6)</f>
        <v>6.342</v>
      </c>
      <c r="D72" s="128">
        <f>(4.54*I6)</f>
        <v>5.9928</v>
      </c>
      <c r="E72" s="129">
        <v>1</v>
      </c>
      <c r="F72" s="130">
        <f t="shared" si="2"/>
        <v>12.3348</v>
      </c>
      <c r="G72" s="439"/>
      <c r="H72" s="182"/>
      <c r="I72" s="182"/>
    </row>
    <row r="73" spans="1:9" ht="12.75" customHeight="1">
      <c r="A73" s="432"/>
      <c r="B73" s="127" t="s">
        <v>226</v>
      </c>
      <c r="C73" s="128">
        <f>(4.75*H6)</f>
        <v>6.6499999999999995</v>
      </c>
      <c r="D73" s="128">
        <f>(0.25*I6)</f>
        <v>0.33</v>
      </c>
      <c r="E73" s="129">
        <v>1</v>
      </c>
      <c r="F73" s="130">
        <f t="shared" si="2"/>
        <v>6.9799999999999995</v>
      </c>
      <c r="G73" s="439"/>
      <c r="H73" s="182"/>
      <c r="I73" s="182"/>
    </row>
    <row r="74" spans="1:9" ht="12.75" customHeight="1">
      <c r="A74" s="432"/>
      <c r="B74" s="127" t="s">
        <v>227</v>
      </c>
      <c r="C74" s="128">
        <f>(9.51*H6)</f>
        <v>13.313999999999998</v>
      </c>
      <c r="D74" s="128">
        <f>(0.49*I6)</f>
        <v>0.6468</v>
      </c>
      <c r="E74" s="129">
        <v>1</v>
      </c>
      <c r="F74" s="130">
        <f t="shared" si="2"/>
        <v>13.960799999999999</v>
      </c>
      <c r="G74" s="439"/>
      <c r="H74" s="182"/>
      <c r="I74" s="182"/>
    </row>
    <row r="75" spans="1:9" ht="12.75" customHeight="1">
      <c r="A75" s="432"/>
      <c r="B75" s="127" t="s">
        <v>228</v>
      </c>
      <c r="C75" s="128">
        <f>(14.26*H6)</f>
        <v>19.964</v>
      </c>
      <c r="D75" s="128">
        <f>(0.74*I6)</f>
        <v>0.9768</v>
      </c>
      <c r="E75" s="129">
        <v>1</v>
      </c>
      <c r="F75" s="130">
        <f t="shared" si="2"/>
        <v>20.9408</v>
      </c>
      <c r="G75" s="439"/>
      <c r="H75" s="182"/>
      <c r="I75" s="182"/>
    </row>
    <row r="76" spans="1:9" ht="12.75" customHeight="1">
      <c r="A76" s="432"/>
      <c r="B76" s="127" t="s">
        <v>229</v>
      </c>
      <c r="C76" s="128">
        <f>(17.83*H6)</f>
        <v>24.961999999999996</v>
      </c>
      <c r="D76" s="128">
        <f>(0.92*I6)</f>
        <v>1.2144000000000001</v>
      </c>
      <c r="E76" s="129">
        <v>1</v>
      </c>
      <c r="F76" s="130">
        <f t="shared" si="2"/>
        <v>26.176399999999997</v>
      </c>
      <c r="G76" s="439"/>
      <c r="H76" s="182"/>
      <c r="I76" s="182"/>
    </row>
    <row r="77" spans="1:9" ht="12.75" customHeight="1">
      <c r="A77" s="432"/>
      <c r="B77" s="127" t="s">
        <v>230</v>
      </c>
      <c r="C77" s="128">
        <f>(23.77*H6)</f>
        <v>33.278</v>
      </c>
      <c r="D77" s="128">
        <f>(1.23*I6)</f>
        <v>1.6236000000000002</v>
      </c>
      <c r="E77" s="129">
        <v>1</v>
      </c>
      <c r="F77" s="130">
        <f t="shared" si="2"/>
        <v>34.9016</v>
      </c>
      <c r="G77" s="439"/>
      <c r="H77" s="182"/>
      <c r="I77" s="182"/>
    </row>
    <row r="78" spans="1:9" ht="12.75" customHeight="1">
      <c r="A78" s="432"/>
      <c r="B78" s="127" t="s">
        <v>231</v>
      </c>
      <c r="C78" s="128">
        <f>(27.4*H6)</f>
        <v>38.35999999999999</v>
      </c>
      <c r="D78" s="128">
        <f>(1.5*I6)</f>
        <v>1.98</v>
      </c>
      <c r="E78" s="129">
        <v>1</v>
      </c>
      <c r="F78" s="130">
        <f t="shared" si="2"/>
        <v>40.33999999999999</v>
      </c>
      <c r="G78" s="439"/>
      <c r="H78" s="182"/>
      <c r="I78" s="182"/>
    </row>
    <row r="79" spans="1:9" ht="12.75" customHeight="1">
      <c r="A79" s="432"/>
      <c r="B79" s="127" t="s">
        <v>232</v>
      </c>
      <c r="C79" s="128">
        <f>(27.95*H6)</f>
        <v>39.129999999999995</v>
      </c>
      <c r="D79" s="128">
        <f>(1.6*I6)</f>
        <v>2.112</v>
      </c>
      <c r="E79" s="129">
        <v>1</v>
      </c>
      <c r="F79" s="130">
        <f t="shared" si="2"/>
        <v>41.242</v>
      </c>
      <c r="G79" s="439"/>
      <c r="H79" s="182"/>
      <c r="I79" s="182"/>
    </row>
    <row r="80" spans="1:9" ht="12.75" customHeight="1">
      <c r="A80" s="432"/>
      <c r="B80" s="127" t="s">
        <v>233</v>
      </c>
      <c r="C80" s="128">
        <f>(29.79*H6)</f>
        <v>41.705999999999996</v>
      </c>
      <c r="D80" s="128">
        <f>(1.63*I6)</f>
        <v>2.1516</v>
      </c>
      <c r="E80" s="129">
        <v>1</v>
      </c>
      <c r="F80" s="130">
        <f t="shared" si="2"/>
        <v>43.8576</v>
      </c>
      <c r="G80" s="439"/>
      <c r="H80" s="182"/>
      <c r="I80" s="182"/>
    </row>
    <row r="81" spans="1:9" ht="12.75" customHeight="1">
      <c r="A81" s="432"/>
      <c r="B81" s="127" t="s">
        <v>234</v>
      </c>
      <c r="C81" s="128">
        <f>(35.66*H6)</f>
        <v>49.92399999999999</v>
      </c>
      <c r="D81" s="128">
        <f>(1.85*I6)</f>
        <v>2.442</v>
      </c>
      <c r="E81" s="129">
        <v>1</v>
      </c>
      <c r="F81" s="130">
        <f t="shared" si="2"/>
        <v>52.36599999999999</v>
      </c>
      <c r="G81" s="439"/>
      <c r="H81" s="182"/>
      <c r="I81" s="182"/>
    </row>
    <row r="82" spans="1:9" ht="12.75" customHeight="1">
      <c r="A82" s="432"/>
      <c r="B82" s="127" t="s">
        <v>235</v>
      </c>
      <c r="C82" s="128">
        <f>(41.6*H6)</f>
        <v>58.239999999999995</v>
      </c>
      <c r="D82" s="128">
        <f>(2.16*I6)</f>
        <v>2.8512000000000004</v>
      </c>
      <c r="E82" s="129">
        <v>1</v>
      </c>
      <c r="F82" s="130">
        <f t="shared" si="2"/>
        <v>61.09119999999999</v>
      </c>
      <c r="G82" s="439"/>
      <c r="H82" s="182"/>
      <c r="I82" s="182"/>
    </row>
    <row r="83" spans="1:9" ht="12.75" customHeight="1">
      <c r="A83" s="432"/>
      <c r="B83" s="127" t="s">
        <v>236</v>
      </c>
      <c r="C83" s="128">
        <f>(47.55*H6)</f>
        <v>66.57</v>
      </c>
      <c r="D83" s="128">
        <f>(2.46*I6)</f>
        <v>3.2472000000000003</v>
      </c>
      <c r="E83" s="129">
        <v>1</v>
      </c>
      <c r="F83" s="130">
        <f t="shared" si="2"/>
        <v>69.8172</v>
      </c>
      <c r="G83" s="439"/>
      <c r="H83" s="182"/>
      <c r="I83" s="182"/>
    </row>
    <row r="84" spans="1:9" ht="12.75" customHeight="1">
      <c r="A84" s="432"/>
      <c r="B84" s="127" t="s">
        <v>237</v>
      </c>
      <c r="C84" s="128">
        <f>(1.27*H6)</f>
        <v>1.7779999999999998</v>
      </c>
      <c r="D84" s="128">
        <f>(0.14*I6)</f>
        <v>0.18480000000000002</v>
      </c>
      <c r="E84" s="129">
        <v>1</v>
      </c>
      <c r="F84" s="130">
        <f t="shared" si="2"/>
        <v>1.9627999999999999</v>
      </c>
      <c r="G84" s="439"/>
      <c r="H84" s="182"/>
      <c r="I84" s="182"/>
    </row>
    <row r="85" spans="1:9" ht="12.75" customHeight="1">
      <c r="A85" s="432"/>
      <c r="B85" s="127" t="s">
        <v>238</v>
      </c>
      <c r="C85" s="128">
        <f>(3.18*H6)</f>
        <v>4.452</v>
      </c>
      <c r="D85" s="128">
        <f>(0.36*I6)</f>
        <v>0.4752</v>
      </c>
      <c r="E85" s="129">
        <v>1</v>
      </c>
      <c r="F85" s="130">
        <f t="shared" si="2"/>
        <v>4.9272</v>
      </c>
      <c r="G85" s="439"/>
      <c r="H85" s="182"/>
      <c r="I85" s="182"/>
    </row>
    <row r="86" spans="1:9" ht="12.75" customHeight="1">
      <c r="A86" s="432"/>
      <c r="B86" s="127" t="s">
        <v>239</v>
      </c>
      <c r="C86" s="128">
        <f>(3.81*H6)</f>
        <v>5.334</v>
      </c>
      <c r="D86" s="128">
        <f>(0.43*I6)</f>
        <v>0.5676</v>
      </c>
      <c r="E86" s="129">
        <v>1</v>
      </c>
      <c r="F86" s="130">
        <f t="shared" si="2"/>
        <v>5.901599999999999</v>
      </c>
      <c r="G86" s="439"/>
      <c r="H86" s="182"/>
      <c r="I86" s="182"/>
    </row>
    <row r="87" spans="1:9" ht="12.75" customHeight="1">
      <c r="A87" s="432"/>
      <c r="B87" s="127" t="s">
        <v>386</v>
      </c>
      <c r="C87" s="128">
        <f>(1.21*H6)</f>
        <v>1.694</v>
      </c>
      <c r="D87" s="128">
        <f>(1.22*I6)</f>
        <v>1.6104</v>
      </c>
      <c r="E87" s="129">
        <v>1</v>
      </c>
      <c r="F87" s="130">
        <f t="shared" si="2"/>
        <v>3.3044000000000002</v>
      </c>
      <c r="G87" s="439"/>
      <c r="H87" s="182"/>
      <c r="I87" s="182"/>
    </row>
    <row r="88" spans="1:9" ht="12.75" customHeight="1">
      <c r="A88" s="432"/>
      <c r="B88" s="127" t="s">
        <v>241</v>
      </c>
      <c r="C88" s="128">
        <f>(0.47*H6)</f>
        <v>0.6579999999999999</v>
      </c>
      <c r="D88" s="128">
        <f>(2.9*I6)</f>
        <v>3.828</v>
      </c>
      <c r="E88" s="129">
        <v>1</v>
      </c>
      <c r="F88" s="130">
        <f t="shared" si="2"/>
        <v>4.486</v>
      </c>
      <c r="G88" s="439"/>
      <c r="H88" s="182"/>
      <c r="I88" s="182"/>
    </row>
    <row r="89" spans="1:9" ht="12.75" customHeight="1">
      <c r="A89" s="432"/>
      <c r="B89" s="127" t="s">
        <v>242</v>
      </c>
      <c r="C89" s="128">
        <f>(1.05*H6)</f>
        <v>1.47</v>
      </c>
      <c r="D89" s="128">
        <f>(6.48*I6)</f>
        <v>8.553600000000001</v>
      </c>
      <c r="E89" s="129">
        <v>1</v>
      </c>
      <c r="F89" s="130">
        <f t="shared" si="2"/>
        <v>10.023600000000002</v>
      </c>
      <c r="G89" s="439"/>
      <c r="H89" s="182"/>
      <c r="I89" s="182"/>
    </row>
    <row r="90" spans="1:9" ht="12.75" customHeight="1">
      <c r="A90" s="432"/>
      <c r="B90" s="127" t="s">
        <v>243</v>
      </c>
      <c r="C90" s="128">
        <f>(1.77*H6)</f>
        <v>2.4779999999999998</v>
      </c>
      <c r="D90" s="128">
        <f>(10.91*I6)</f>
        <v>14.401200000000001</v>
      </c>
      <c r="E90" s="129">
        <v>1</v>
      </c>
      <c r="F90" s="130">
        <f t="shared" si="2"/>
        <v>16.8792</v>
      </c>
      <c r="G90" s="439"/>
      <c r="H90" s="182"/>
      <c r="I90" s="182"/>
    </row>
    <row r="91" spans="1:9" ht="12.75" customHeight="1">
      <c r="A91" s="432"/>
      <c r="B91" s="127" t="s">
        <v>244</v>
      </c>
      <c r="C91" s="128">
        <f>(2.53*H6)</f>
        <v>3.5419999999999994</v>
      </c>
      <c r="D91" s="128">
        <f>(3.41*I6)</f>
        <v>4.501200000000001</v>
      </c>
      <c r="E91" s="129">
        <v>1</v>
      </c>
      <c r="F91" s="130">
        <f t="shared" si="2"/>
        <v>8.0432</v>
      </c>
      <c r="G91" s="439"/>
      <c r="H91" s="182"/>
      <c r="I91" s="182"/>
    </row>
    <row r="92" spans="1:9" ht="12.75" customHeight="1">
      <c r="A92" s="432"/>
      <c r="B92" s="127" t="s">
        <v>245</v>
      </c>
      <c r="C92" s="128">
        <f>(2.78*H6)</f>
        <v>3.8919999999999995</v>
      </c>
      <c r="D92" s="128">
        <f>(3.75*I6)</f>
        <v>4.95</v>
      </c>
      <c r="E92" s="129">
        <v>1</v>
      </c>
      <c r="F92" s="130">
        <f t="shared" si="2"/>
        <v>8.841999999999999</v>
      </c>
      <c r="G92" s="439"/>
      <c r="H92" s="182"/>
      <c r="I92" s="182"/>
    </row>
    <row r="93" spans="1:9" ht="12.75" customHeight="1">
      <c r="A93" s="432"/>
      <c r="B93" s="127" t="s">
        <v>246</v>
      </c>
      <c r="C93" s="128">
        <f>(47.37*H6)</f>
        <v>66.318</v>
      </c>
      <c r="D93" s="128">
        <f>(4.3*I6)</f>
        <v>5.676</v>
      </c>
      <c r="E93" s="129">
        <v>1</v>
      </c>
      <c r="F93" s="130">
        <f t="shared" si="2"/>
        <v>71.994</v>
      </c>
      <c r="G93" s="439"/>
      <c r="H93" s="182"/>
      <c r="I93" s="182"/>
    </row>
    <row r="94" spans="1:9" ht="12.75" customHeight="1">
      <c r="A94" s="432"/>
      <c r="B94" s="127" t="s">
        <v>247</v>
      </c>
      <c r="C94" s="128">
        <f>(0.14*H6)</f>
        <v>0.196</v>
      </c>
      <c r="D94" s="128">
        <f>(0.64*I6)</f>
        <v>0.8448000000000001</v>
      </c>
      <c r="E94" s="129">
        <v>1</v>
      </c>
      <c r="F94" s="130">
        <f t="shared" si="2"/>
        <v>1.0408000000000002</v>
      </c>
      <c r="G94" s="439"/>
      <c r="H94" s="182"/>
      <c r="I94" s="182"/>
    </row>
    <row r="95" spans="1:9" ht="12.75" customHeight="1">
      <c r="A95" s="432"/>
      <c r="B95" s="127" t="s">
        <v>248</v>
      </c>
      <c r="C95" s="128">
        <f>(0.18*H6)</f>
        <v>0.252</v>
      </c>
      <c r="D95" s="128">
        <f>(0.85*I6)</f>
        <v>1.122</v>
      </c>
      <c r="E95" s="129">
        <v>1</v>
      </c>
      <c r="F95" s="130">
        <f t="shared" si="2"/>
        <v>1.374</v>
      </c>
      <c r="G95" s="439"/>
      <c r="H95" s="182"/>
      <c r="I95" s="182"/>
    </row>
    <row r="96" spans="1:9" ht="12.75" customHeight="1">
      <c r="A96" s="433"/>
      <c r="B96" s="127" t="s">
        <v>249</v>
      </c>
      <c r="C96" s="128">
        <f>(4.34*H6)</f>
        <v>6.076</v>
      </c>
      <c r="D96" s="128">
        <f>(9.12*I6)</f>
        <v>12.0384</v>
      </c>
      <c r="E96" s="129">
        <v>1</v>
      </c>
      <c r="F96" s="130">
        <f t="shared" si="2"/>
        <v>18.1144</v>
      </c>
      <c r="G96" s="439"/>
      <c r="H96" s="182"/>
      <c r="I96" s="182"/>
    </row>
    <row r="97" spans="1:9" ht="12.75" customHeight="1">
      <c r="A97" s="124"/>
      <c r="B97" s="434"/>
      <c r="C97" s="434"/>
      <c r="D97" s="434"/>
      <c r="E97" s="434"/>
      <c r="F97" s="434"/>
      <c r="G97" s="439"/>
      <c r="H97" s="182"/>
      <c r="I97" s="182"/>
    </row>
    <row r="98" spans="1:9" ht="15" customHeight="1">
      <c r="A98" s="131" t="s">
        <v>306</v>
      </c>
      <c r="B98" s="430" t="s">
        <v>315</v>
      </c>
      <c r="C98" s="430"/>
      <c r="D98" s="430"/>
      <c r="E98" s="430"/>
      <c r="F98" s="430"/>
      <c r="G98" s="439"/>
      <c r="H98" s="182"/>
      <c r="I98" s="182"/>
    </row>
    <row r="99" spans="1:9" ht="12.75" customHeight="1">
      <c r="A99" s="431"/>
      <c r="B99" s="127" t="s">
        <v>250</v>
      </c>
      <c r="C99" s="128">
        <f>(5.3*H6)</f>
        <v>7.419999999999999</v>
      </c>
      <c r="D99" s="128">
        <f>(15.85*I6)</f>
        <v>20.922</v>
      </c>
      <c r="E99" s="129">
        <v>1</v>
      </c>
      <c r="F99" s="130">
        <f aca="true" t="shared" si="3" ref="F99:F111">(C99+D99)*E99</f>
        <v>28.342</v>
      </c>
      <c r="G99" s="439"/>
      <c r="H99" s="182"/>
      <c r="I99" s="182"/>
    </row>
    <row r="100" spans="1:9" ht="12.75" customHeight="1">
      <c r="A100" s="432"/>
      <c r="B100" s="127" t="s">
        <v>251</v>
      </c>
      <c r="C100" s="128">
        <f>(5.15*H6)</f>
        <v>7.21</v>
      </c>
      <c r="D100" s="128">
        <f>(8.82*I6)</f>
        <v>11.6424</v>
      </c>
      <c r="E100" s="129">
        <v>1</v>
      </c>
      <c r="F100" s="130">
        <f t="shared" si="3"/>
        <v>18.8524</v>
      </c>
      <c r="G100" s="439"/>
      <c r="H100" s="182"/>
      <c r="I100" s="182"/>
    </row>
    <row r="101" spans="1:13" ht="12.75" customHeight="1">
      <c r="A101" s="432"/>
      <c r="B101" s="127" t="s">
        <v>382</v>
      </c>
      <c r="C101" s="128">
        <f>(17.31*H6)</f>
        <v>24.233999999999998</v>
      </c>
      <c r="D101" s="128">
        <f>(9.55*I6)</f>
        <v>12.606000000000002</v>
      </c>
      <c r="E101" s="129">
        <v>1</v>
      </c>
      <c r="F101" s="130">
        <f t="shared" si="3"/>
        <v>36.84</v>
      </c>
      <c r="G101" s="439"/>
      <c r="H101" s="182"/>
      <c r="I101" s="182"/>
      <c r="M101" s="187"/>
    </row>
    <row r="102" spans="1:9" ht="12.75" customHeight="1">
      <c r="A102" s="432"/>
      <c r="B102" s="127" t="s">
        <v>252</v>
      </c>
      <c r="C102" s="128">
        <f>(47.91*H6)</f>
        <v>67.074</v>
      </c>
      <c r="D102" s="128">
        <f>(25.69*I6)</f>
        <v>33.9108</v>
      </c>
      <c r="E102" s="129">
        <v>1</v>
      </c>
      <c r="F102" s="130">
        <f t="shared" si="3"/>
        <v>100.9848</v>
      </c>
      <c r="G102" s="439"/>
      <c r="H102" s="182"/>
      <c r="I102" s="182"/>
    </row>
    <row r="103" spans="1:9" ht="12.75" customHeight="1">
      <c r="A103" s="432"/>
      <c r="B103" s="127" t="s">
        <v>253</v>
      </c>
      <c r="C103" s="128">
        <f>(24.73*H6)</f>
        <v>34.622</v>
      </c>
      <c r="D103" s="128">
        <f>(13.64*I6)</f>
        <v>18.004800000000003</v>
      </c>
      <c r="E103" s="129">
        <v>1</v>
      </c>
      <c r="F103" s="130">
        <f t="shared" si="3"/>
        <v>52.6268</v>
      </c>
      <c r="G103" s="439"/>
      <c r="H103" s="182"/>
      <c r="I103" s="182"/>
    </row>
    <row r="104" spans="1:9" ht="12.75" customHeight="1">
      <c r="A104" s="432"/>
      <c r="B104" s="127" t="s">
        <v>254</v>
      </c>
      <c r="C104" s="128">
        <f>(3.46*H6)</f>
        <v>4.843999999999999</v>
      </c>
      <c r="D104" s="128">
        <f>(1.91*I6)</f>
        <v>2.5212</v>
      </c>
      <c r="E104" s="129">
        <v>1</v>
      </c>
      <c r="F104" s="130">
        <f t="shared" si="3"/>
        <v>7.3652</v>
      </c>
      <c r="G104" s="439"/>
      <c r="H104" s="182"/>
      <c r="I104" s="182"/>
    </row>
    <row r="105" spans="1:9" ht="12.75" customHeight="1">
      <c r="A105" s="432"/>
      <c r="B105" s="127" t="s">
        <v>255</v>
      </c>
      <c r="C105" s="128">
        <f>(3.71*H6)</f>
        <v>5.194</v>
      </c>
      <c r="D105" s="128">
        <f>(2.05*I6)</f>
        <v>2.706</v>
      </c>
      <c r="E105" s="129">
        <v>1</v>
      </c>
      <c r="F105" s="130">
        <f t="shared" si="3"/>
        <v>7.9</v>
      </c>
      <c r="G105" s="439"/>
      <c r="H105" s="182"/>
      <c r="I105" s="182"/>
    </row>
    <row r="106" spans="1:9" ht="12.75" customHeight="1">
      <c r="A106" s="432"/>
      <c r="B106" s="127" t="s">
        <v>256</v>
      </c>
      <c r="C106" s="128">
        <f>(1.85*H6)</f>
        <v>2.59</v>
      </c>
      <c r="D106" s="128">
        <f>(1.02*I6)</f>
        <v>1.3464</v>
      </c>
      <c r="E106" s="129">
        <v>1</v>
      </c>
      <c r="F106" s="130">
        <f t="shared" si="3"/>
        <v>3.9364</v>
      </c>
      <c r="G106" s="439"/>
      <c r="H106" s="182"/>
      <c r="I106" s="182"/>
    </row>
    <row r="107" spans="1:9" ht="12.75" customHeight="1">
      <c r="A107" s="432"/>
      <c r="B107" s="127" t="s">
        <v>257</v>
      </c>
      <c r="C107" s="128">
        <f>(22.26*H6)</f>
        <v>31.164</v>
      </c>
      <c r="D107" s="128">
        <f>(12.28*I6)</f>
        <v>16.2096</v>
      </c>
      <c r="E107" s="129">
        <v>1</v>
      </c>
      <c r="F107" s="130">
        <f t="shared" si="3"/>
        <v>47.373599999999996</v>
      </c>
      <c r="G107" s="439"/>
      <c r="H107" s="182"/>
      <c r="I107" s="182"/>
    </row>
    <row r="108" spans="1:9" ht="12.75" customHeight="1">
      <c r="A108" s="432"/>
      <c r="B108" s="127" t="s">
        <v>258</v>
      </c>
      <c r="C108" s="128">
        <f>(8.27*H6)</f>
        <v>11.578</v>
      </c>
      <c r="D108" s="128">
        <f>(21.31*I6)</f>
        <v>28.1292</v>
      </c>
      <c r="E108" s="129">
        <v>1</v>
      </c>
      <c r="F108" s="130">
        <f t="shared" si="3"/>
        <v>39.7072</v>
      </c>
      <c r="G108" s="439"/>
      <c r="H108" s="182"/>
      <c r="I108" s="182"/>
    </row>
    <row r="109" spans="1:9" ht="12.75" customHeight="1">
      <c r="A109" s="432"/>
      <c r="B109" s="127" t="s">
        <v>259</v>
      </c>
      <c r="C109" s="128">
        <f>(9.89*H6)</f>
        <v>13.846</v>
      </c>
      <c r="D109" s="128">
        <f>(5.46*I6)</f>
        <v>7.2072</v>
      </c>
      <c r="E109" s="129">
        <v>1</v>
      </c>
      <c r="F109" s="130">
        <f t="shared" si="3"/>
        <v>21.0532</v>
      </c>
      <c r="G109" s="439"/>
      <c r="H109" s="182"/>
      <c r="I109" s="182"/>
    </row>
    <row r="110" spans="1:9" ht="12.75" customHeight="1">
      <c r="A110" s="432"/>
      <c r="B110" s="127" t="s">
        <v>260</v>
      </c>
      <c r="C110" s="128">
        <f>(9.89*H6)</f>
        <v>13.846</v>
      </c>
      <c r="D110" s="128">
        <f>(5.46*I6)</f>
        <v>7.2072</v>
      </c>
      <c r="E110" s="129">
        <v>1</v>
      </c>
      <c r="F110" s="130">
        <f t="shared" si="3"/>
        <v>21.0532</v>
      </c>
      <c r="G110" s="439"/>
      <c r="H110" s="182"/>
      <c r="I110" s="182"/>
    </row>
    <row r="111" spans="1:9" ht="12.75" customHeight="1">
      <c r="A111" s="433"/>
      <c r="B111" s="127" t="s">
        <v>261</v>
      </c>
      <c r="C111" s="128">
        <f>(3.71*H6)</f>
        <v>5.194</v>
      </c>
      <c r="D111" s="128">
        <f>(2.1*I6)</f>
        <v>2.7720000000000002</v>
      </c>
      <c r="E111" s="129">
        <v>1</v>
      </c>
      <c r="F111" s="130">
        <f t="shared" si="3"/>
        <v>7.966</v>
      </c>
      <c r="G111" s="439"/>
      <c r="H111" s="182"/>
      <c r="I111" s="182"/>
    </row>
    <row r="112" spans="1:9" ht="12.75" customHeight="1">
      <c r="A112" s="124"/>
      <c r="B112" s="434"/>
      <c r="C112" s="434"/>
      <c r="D112" s="434"/>
      <c r="E112" s="434"/>
      <c r="F112" s="434"/>
      <c r="G112" s="439"/>
      <c r="H112" s="182"/>
      <c r="I112" s="182"/>
    </row>
    <row r="113" spans="1:9" ht="15" customHeight="1">
      <c r="A113" s="131" t="s">
        <v>306</v>
      </c>
      <c r="B113" s="430" t="s">
        <v>316</v>
      </c>
      <c r="C113" s="430"/>
      <c r="D113" s="430"/>
      <c r="E113" s="430"/>
      <c r="F113" s="430"/>
      <c r="G113" s="439"/>
      <c r="H113" s="182"/>
      <c r="I113" s="182"/>
    </row>
    <row r="114" spans="1:9" ht="12.75" customHeight="1">
      <c r="A114" s="436"/>
      <c r="B114" s="127" t="s">
        <v>262</v>
      </c>
      <c r="C114" s="128">
        <f>(1.47*H6)</f>
        <v>2.058</v>
      </c>
      <c r="D114" s="128">
        <f>(4.48*I6)</f>
        <v>5.913600000000001</v>
      </c>
      <c r="E114" s="129">
        <v>1</v>
      </c>
      <c r="F114" s="130">
        <f>(C114+D114)*E114</f>
        <v>7.9716000000000005</v>
      </c>
      <c r="G114" s="439"/>
      <c r="H114" s="182"/>
      <c r="I114" s="182"/>
    </row>
    <row r="115" spans="1:9" ht="12.75" customHeight="1">
      <c r="A115" s="436"/>
      <c r="B115" s="127" t="s">
        <v>263</v>
      </c>
      <c r="C115" s="128">
        <f>(3.91*H6)</f>
        <v>5.474</v>
      </c>
      <c r="D115" s="128">
        <f>(11.94*I6)</f>
        <v>15.7608</v>
      </c>
      <c r="E115" s="129">
        <v>1</v>
      </c>
      <c r="F115" s="130">
        <f>(C115+D115)*E115</f>
        <v>21.2348</v>
      </c>
      <c r="G115" s="439"/>
      <c r="H115" s="182"/>
      <c r="I115" s="182"/>
    </row>
    <row r="116" spans="1:9" ht="12.75" customHeight="1">
      <c r="A116" s="124"/>
      <c r="B116" s="434"/>
      <c r="C116" s="434"/>
      <c r="D116" s="434"/>
      <c r="E116" s="434"/>
      <c r="F116" s="434"/>
      <c r="G116" s="439"/>
      <c r="H116" s="182"/>
      <c r="I116" s="182"/>
    </row>
    <row r="117" spans="1:9" ht="15" customHeight="1">
      <c r="A117" s="131" t="s">
        <v>306</v>
      </c>
      <c r="B117" s="430" t="s">
        <v>317</v>
      </c>
      <c r="C117" s="430"/>
      <c r="D117" s="430"/>
      <c r="E117" s="430"/>
      <c r="F117" s="430"/>
      <c r="G117" s="439"/>
      <c r="H117" s="182"/>
      <c r="I117" s="182"/>
    </row>
    <row r="118" spans="1:9" ht="12.75" customHeight="1">
      <c r="A118" s="436"/>
      <c r="B118" s="127" t="s">
        <v>264</v>
      </c>
      <c r="C118" s="128">
        <f>(3.04*H6)</f>
        <v>4.255999999999999</v>
      </c>
      <c r="D118" s="128">
        <f>(4.26*I6)</f>
        <v>5.6232</v>
      </c>
      <c r="E118" s="129">
        <v>1</v>
      </c>
      <c r="F118" s="130">
        <f>(C118+D118)*E118</f>
        <v>9.879199999999999</v>
      </c>
      <c r="G118" s="439"/>
      <c r="H118" s="182"/>
      <c r="I118" s="182"/>
    </row>
    <row r="119" spans="1:9" ht="12.75" customHeight="1">
      <c r="A119" s="436"/>
      <c r="B119" s="434"/>
      <c r="C119" s="434"/>
      <c r="D119" s="434"/>
      <c r="E119" s="434"/>
      <c r="F119" s="434"/>
      <c r="G119" s="439"/>
      <c r="H119" s="182"/>
      <c r="I119" s="182"/>
    </row>
    <row r="120" spans="1:9" ht="15" customHeight="1">
      <c r="A120" s="131" t="s">
        <v>306</v>
      </c>
      <c r="B120" s="430" t="s">
        <v>318</v>
      </c>
      <c r="C120" s="430"/>
      <c r="D120" s="430"/>
      <c r="E120" s="430"/>
      <c r="F120" s="430"/>
      <c r="G120" s="439"/>
      <c r="H120" s="182"/>
      <c r="I120" s="182"/>
    </row>
    <row r="121" spans="1:9" ht="12.75" customHeight="1">
      <c r="A121" s="431"/>
      <c r="B121" s="127" t="s">
        <v>265</v>
      </c>
      <c r="C121" s="128">
        <f>(2.84*H6)</f>
        <v>3.9759999999999995</v>
      </c>
      <c r="D121" s="128">
        <f>(5.8*I6)</f>
        <v>7.656</v>
      </c>
      <c r="E121" s="129">
        <v>1</v>
      </c>
      <c r="F121" s="130">
        <f>(C121+D121)*E121</f>
        <v>11.632</v>
      </c>
      <c r="G121" s="439"/>
      <c r="H121" s="182"/>
      <c r="I121" s="182"/>
    </row>
    <row r="122" spans="1:9" ht="12.75" customHeight="1">
      <c r="A122" s="432"/>
      <c r="B122" s="127" t="s">
        <v>266</v>
      </c>
      <c r="C122" s="128">
        <f>(1.86*H6)</f>
        <v>2.604</v>
      </c>
      <c r="D122" s="128">
        <f>(4.26*I6)</f>
        <v>5.6232</v>
      </c>
      <c r="E122" s="129">
        <v>1</v>
      </c>
      <c r="F122" s="130">
        <f>(C122+D122)*E122</f>
        <v>8.2272</v>
      </c>
      <c r="G122" s="439"/>
      <c r="H122" s="182"/>
      <c r="I122" s="182"/>
    </row>
    <row r="123" spans="1:9" ht="12.75" customHeight="1">
      <c r="A123" s="432"/>
      <c r="B123" s="127" t="s">
        <v>267</v>
      </c>
      <c r="C123" s="128">
        <f>(0.56*H6)</f>
        <v>0.784</v>
      </c>
      <c r="D123" s="128">
        <f>(1.28*I6)</f>
        <v>1.6896000000000002</v>
      </c>
      <c r="E123" s="129">
        <v>1</v>
      </c>
      <c r="F123" s="130">
        <f>(C123+D123)*E123</f>
        <v>2.4736000000000002</v>
      </c>
      <c r="G123" s="439"/>
      <c r="H123" s="182"/>
      <c r="I123" s="182"/>
    </row>
    <row r="124" spans="1:9" ht="12.75" customHeight="1">
      <c r="A124" s="433"/>
      <c r="B124" s="127" t="s">
        <v>268</v>
      </c>
      <c r="C124" s="128">
        <f>(1.09*H6)</f>
        <v>1.526</v>
      </c>
      <c r="D124" s="128">
        <f>(2.22*I6)</f>
        <v>2.9304000000000006</v>
      </c>
      <c r="E124" s="129">
        <v>1</v>
      </c>
      <c r="F124" s="130">
        <f>(C124+D124)*E124</f>
        <v>4.4564</v>
      </c>
      <c r="G124" s="439"/>
      <c r="H124" s="182"/>
      <c r="I124" s="182"/>
    </row>
    <row r="125" spans="1:9" ht="12.75" customHeight="1">
      <c r="A125" s="124"/>
      <c r="B125" s="434"/>
      <c r="C125" s="434"/>
      <c r="D125" s="434"/>
      <c r="E125" s="434"/>
      <c r="F125" s="434"/>
      <c r="G125" s="439"/>
      <c r="H125" s="182"/>
      <c r="I125" s="182"/>
    </row>
    <row r="126" spans="1:9" ht="15" customHeight="1">
      <c r="A126" s="131" t="s">
        <v>306</v>
      </c>
      <c r="B126" s="430" t="s">
        <v>319</v>
      </c>
      <c r="C126" s="430"/>
      <c r="D126" s="430"/>
      <c r="E126" s="430"/>
      <c r="F126" s="430"/>
      <c r="G126" s="439"/>
      <c r="H126" s="182"/>
      <c r="I126" s="182"/>
    </row>
    <row r="127" spans="1:9" ht="12.75" customHeight="1">
      <c r="A127" s="431"/>
      <c r="B127" s="127" t="s">
        <v>269</v>
      </c>
      <c r="C127" s="128">
        <f>(0.44*H6)</f>
        <v>0.616</v>
      </c>
      <c r="D127" s="128">
        <f>(1.36*I6)</f>
        <v>1.7952000000000001</v>
      </c>
      <c r="E127" s="129">
        <v>1</v>
      </c>
      <c r="F127" s="130">
        <f>(C127+D127)*E127</f>
        <v>2.4112</v>
      </c>
      <c r="G127" s="439"/>
      <c r="H127" s="182"/>
      <c r="I127" s="182"/>
    </row>
    <row r="128" spans="1:13" ht="12.75" customHeight="1">
      <c r="A128" s="432"/>
      <c r="B128" s="127" t="s">
        <v>270</v>
      </c>
      <c r="C128" s="128">
        <f>(1.47*H6)</f>
        <v>2.058</v>
      </c>
      <c r="D128" s="128">
        <f>(2.02*I6)</f>
        <v>2.6664000000000003</v>
      </c>
      <c r="E128" s="129">
        <v>1</v>
      </c>
      <c r="F128" s="130">
        <f>(C128+D128)*E128</f>
        <v>4.7244</v>
      </c>
      <c r="G128" s="439"/>
      <c r="H128" s="182"/>
      <c r="I128" s="182"/>
      <c r="M128" s="188"/>
    </row>
    <row r="129" spans="1:9" ht="12.75" customHeight="1">
      <c r="A129" s="432"/>
      <c r="B129" s="127" t="s">
        <v>271</v>
      </c>
      <c r="C129" s="128">
        <f>(2.94*H6)</f>
        <v>4.116</v>
      </c>
      <c r="D129" s="128">
        <f>(4.03*I6)</f>
        <v>5.3196</v>
      </c>
      <c r="E129" s="129">
        <v>1</v>
      </c>
      <c r="F129" s="130">
        <f>(C129+D129)*E129</f>
        <v>9.4356</v>
      </c>
      <c r="G129" s="439"/>
      <c r="H129" s="182"/>
      <c r="I129" s="182"/>
    </row>
    <row r="130" spans="1:9" ht="12.75" customHeight="1">
      <c r="A130" s="432"/>
      <c r="B130" s="127" t="s">
        <v>272</v>
      </c>
      <c r="C130" s="128">
        <f>(3.92*H6)</f>
        <v>5.4879999999999995</v>
      </c>
      <c r="D130" s="128">
        <f>(5.38*I6)</f>
        <v>7.1016</v>
      </c>
      <c r="E130" s="129">
        <v>1</v>
      </c>
      <c r="F130" s="130">
        <f>(C130+D130)*E130</f>
        <v>12.5896</v>
      </c>
      <c r="G130" s="439"/>
      <c r="H130" s="182"/>
      <c r="I130" s="182"/>
    </row>
    <row r="131" spans="1:9" ht="12.75" customHeight="1">
      <c r="A131" s="433"/>
      <c r="B131" s="127" t="s">
        <v>119</v>
      </c>
      <c r="C131" s="128">
        <f>(5.39*H6)</f>
        <v>7.545999999999999</v>
      </c>
      <c r="D131" s="128">
        <f>(7.4*I6)</f>
        <v>9.768</v>
      </c>
      <c r="E131" s="129">
        <v>1</v>
      </c>
      <c r="F131" s="130">
        <f>(C131+D131)*E131</f>
        <v>17.314</v>
      </c>
      <c r="G131" s="439"/>
      <c r="H131" s="182"/>
      <c r="I131" s="182"/>
    </row>
    <row r="132" spans="1:9" ht="12.75" customHeight="1">
      <c r="A132" s="124"/>
      <c r="B132" s="434"/>
      <c r="C132" s="434"/>
      <c r="D132" s="434"/>
      <c r="E132" s="434"/>
      <c r="F132" s="434"/>
      <c r="G132" s="439"/>
      <c r="H132" s="182"/>
      <c r="I132" s="182"/>
    </row>
    <row r="133" spans="1:9" ht="15" customHeight="1">
      <c r="A133" s="131" t="s">
        <v>306</v>
      </c>
      <c r="B133" s="430" t="s">
        <v>320</v>
      </c>
      <c r="C133" s="430"/>
      <c r="D133" s="430"/>
      <c r="E133" s="430"/>
      <c r="F133" s="430"/>
      <c r="G133" s="439"/>
      <c r="H133" s="182"/>
      <c r="I133" s="182"/>
    </row>
    <row r="134" spans="1:14" ht="15" customHeight="1">
      <c r="A134" s="431"/>
      <c r="B134" s="127" t="s">
        <v>273</v>
      </c>
      <c r="C134" s="128">
        <f>(6.53*H6)</f>
        <v>9.142</v>
      </c>
      <c r="D134" s="128">
        <f>(1.36*I6)</f>
        <v>1.7952000000000001</v>
      </c>
      <c r="E134" s="129">
        <v>1</v>
      </c>
      <c r="F134" s="130">
        <f aca="true" t="shared" si="4" ref="F134:F154">(C134+D134)*E134</f>
        <v>10.937199999999999</v>
      </c>
      <c r="G134" s="439"/>
      <c r="H134" s="182"/>
      <c r="I134" s="182"/>
      <c r="M134" s="182"/>
      <c r="N134" s="189"/>
    </row>
    <row r="135" spans="1:14" ht="15" customHeight="1">
      <c r="A135" s="432"/>
      <c r="B135" s="127" t="s">
        <v>274</v>
      </c>
      <c r="C135" s="128">
        <f>(8.84*H6)</f>
        <v>12.376</v>
      </c>
      <c r="D135" s="128">
        <f>(1.78*I6)</f>
        <v>2.3496</v>
      </c>
      <c r="E135" s="129">
        <v>1</v>
      </c>
      <c r="F135" s="130">
        <f t="shared" si="4"/>
        <v>14.7256</v>
      </c>
      <c r="G135" s="439"/>
      <c r="H135" s="182"/>
      <c r="I135" s="182"/>
      <c r="M135" s="182"/>
      <c r="N135" s="190"/>
    </row>
    <row r="136" spans="1:13" ht="15" customHeight="1">
      <c r="A136" s="432"/>
      <c r="B136" s="127" t="s">
        <v>275</v>
      </c>
      <c r="C136" s="128">
        <f>(9.05*H6)</f>
        <v>12.67</v>
      </c>
      <c r="D136" s="128">
        <f>(1.76*I6)</f>
        <v>2.3232</v>
      </c>
      <c r="E136" s="129">
        <v>1</v>
      </c>
      <c r="F136" s="130">
        <f t="shared" si="4"/>
        <v>14.9932</v>
      </c>
      <c r="G136" s="439"/>
      <c r="H136" s="182"/>
      <c r="I136" s="182"/>
      <c r="M136" s="182"/>
    </row>
    <row r="137" spans="1:14" ht="15" customHeight="1">
      <c r="A137" s="432"/>
      <c r="B137" s="127" t="s">
        <v>276</v>
      </c>
      <c r="C137" s="128">
        <f>(10.68*H6)</f>
        <v>14.951999999999998</v>
      </c>
      <c r="D137" s="128">
        <f>(2.55*I6)</f>
        <v>3.366</v>
      </c>
      <c r="E137" s="129">
        <v>1</v>
      </c>
      <c r="F137" s="130">
        <f t="shared" si="4"/>
        <v>18.317999999999998</v>
      </c>
      <c r="G137" s="439"/>
      <c r="H137" s="182"/>
      <c r="I137" s="182"/>
      <c r="J137" s="178"/>
      <c r="M137" s="182"/>
      <c r="N137" s="190"/>
    </row>
    <row r="138" spans="1:14" ht="15" customHeight="1">
      <c r="A138" s="432"/>
      <c r="B138" s="127" t="s">
        <v>277</v>
      </c>
      <c r="C138" s="128">
        <f>(14.25*H6)</f>
        <v>19.95</v>
      </c>
      <c r="D138" s="128">
        <f>(2.8*I6)</f>
        <v>3.6959999999999997</v>
      </c>
      <c r="E138" s="129">
        <v>1</v>
      </c>
      <c r="F138" s="130">
        <f t="shared" si="4"/>
        <v>23.646</v>
      </c>
      <c r="G138" s="439"/>
      <c r="H138" s="182"/>
      <c r="I138" s="182"/>
      <c r="M138" s="182"/>
      <c r="N138" s="190"/>
    </row>
    <row r="139" spans="1:14" ht="15" customHeight="1">
      <c r="A139" s="432"/>
      <c r="B139" s="127" t="s">
        <v>278</v>
      </c>
      <c r="C139" s="128">
        <f>(15.84*H6)</f>
        <v>22.176</v>
      </c>
      <c r="D139" s="128">
        <f>(3.53*I6)</f>
        <v>4.6596</v>
      </c>
      <c r="E139" s="129">
        <v>1</v>
      </c>
      <c r="F139" s="130">
        <f t="shared" si="4"/>
        <v>26.8356</v>
      </c>
      <c r="G139" s="439"/>
      <c r="H139" s="182"/>
      <c r="I139" s="182"/>
      <c r="M139" s="182"/>
      <c r="N139" s="190"/>
    </row>
    <row r="140" spans="1:13" ht="15" customHeight="1">
      <c r="A140" s="432"/>
      <c r="B140" s="127" t="s">
        <v>279</v>
      </c>
      <c r="C140" s="128">
        <f>(18.31*H6)</f>
        <v>25.633999999999997</v>
      </c>
      <c r="D140" s="128">
        <f>(3.84*I6)</f>
        <v>5.0688</v>
      </c>
      <c r="E140" s="129">
        <v>1</v>
      </c>
      <c r="F140" s="130">
        <f t="shared" si="4"/>
        <v>30.702799999999996</v>
      </c>
      <c r="G140" s="439"/>
      <c r="H140" s="182"/>
      <c r="I140" s="182"/>
      <c r="M140" s="182"/>
    </row>
    <row r="141" spans="1:13" ht="15" customHeight="1">
      <c r="A141" s="432"/>
      <c r="B141" s="127" t="s">
        <v>280</v>
      </c>
      <c r="C141" s="128">
        <f>(19.5*H6)</f>
        <v>27.299999999999997</v>
      </c>
      <c r="D141" s="128">
        <f>(3.93*I6)</f>
        <v>5.187600000000001</v>
      </c>
      <c r="E141" s="129">
        <v>1</v>
      </c>
      <c r="F141" s="130">
        <f t="shared" si="4"/>
        <v>32.4876</v>
      </c>
      <c r="G141" s="439"/>
      <c r="H141" s="182"/>
      <c r="I141" s="182"/>
      <c r="M141" s="182"/>
    </row>
    <row r="142" spans="1:13" ht="15" customHeight="1">
      <c r="A142" s="432"/>
      <c r="B142" s="127" t="s">
        <v>281</v>
      </c>
      <c r="C142" s="128">
        <f>(20.82*H6)</f>
        <v>29.148</v>
      </c>
      <c r="D142" s="128">
        <f>(4.21*I6)</f>
        <v>5.5572</v>
      </c>
      <c r="E142" s="129">
        <v>1</v>
      </c>
      <c r="F142" s="130">
        <f t="shared" si="4"/>
        <v>34.7052</v>
      </c>
      <c r="G142" s="439"/>
      <c r="H142" s="182"/>
      <c r="I142" s="182"/>
      <c r="M142" s="182"/>
    </row>
    <row r="143" spans="1:13" ht="15" customHeight="1">
      <c r="A143" s="432"/>
      <c r="B143" s="127" t="s">
        <v>282</v>
      </c>
      <c r="C143" s="128">
        <f>(22.09*H6)</f>
        <v>30.926</v>
      </c>
      <c r="D143" s="128">
        <f>(4.44*I6)</f>
        <v>5.860800000000001</v>
      </c>
      <c r="E143" s="129">
        <v>1</v>
      </c>
      <c r="F143" s="130">
        <f t="shared" si="4"/>
        <v>36.7868</v>
      </c>
      <c r="G143" s="439"/>
      <c r="H143" s="182"/>
      <c r="I143" s="182"/>
      <c r="M143" s="182"/>
    </row>
    <row r="144" spans="1:13" ht="15" customHeight="1">
      <c r="A144" s="432"/>
      <c r="B144" s="127" t="s">
        <v>283</v>
      </c>
      <c r="C144" s="128">
        <f>(24.84*H6)</f>
        <v>34.775999999999996</v>
      </c>
      <c r="D144" s="128">
        <f>(5.2*I6)</f>
        <v>6.864000000000001</v>
      </c>
      <c r="E144" s="129">
        <v>1</v>
      </c>
      <c r="F144" s="130">
        <f t="shared" si="4"/>
        <v>41.64</v>
      </c>
      <c r="G144" s="439"/>
      <c r="H144" s="182"/>
      <c r="I144" s="182"/>
      <c r="M144" s="182"/>
    </row>
    <row r="145" spans="1:13" ht="15" customHeight="1">
      <c r="A145" s="432"/>
      <c r="B145" s="127" t="s">
        <v>158</v>
      </c>
      <c r="C145" s="128">
        <f>(26.3*H6)</f>
        <v>36.82</v>
      </c>
      <c r="D145" s="128">
        <f>(5.73*I6)</f>
        <v>7.563600000000001</v>
      </c>
      <c r="E145" s="129">
        <v>1</v>
      </c>
      <c r="F145" s="130">
        <f t="shared" si="4"/>
        <v>44.3836</v>
      </c>
      <c r="G145" s="439"/>
      <c r="H145" s="182"/>
      <c r="I145" s="182"/>
      <c r="M145" s="182"/>
    </row>
    <row r="146" spans="1:13" ht="15" customHeight="1">
      <c r="A146" s="432"/>
      <c r="B146" s="127" t="s">
        <v>284</v>
      </c>
      <c r="C146" s="128">
        <f>(28.65*H6)</f>
        <v>40.10999999999999</v>
      </c>
      <c r="D146" s="128">
        <f>(5.83*I6)</f>
        <v>7.695600000000001</v>
      </c>
      <c r="E146" s="129">
        <v>1</v>
      </c>
      <c r="F146" s="130">
        <f t="shared" si="4"/>
        <v>47.80559999999999</v>
      </c>
      <c r="G146" s="439"/>
      <c r="H146" s="182"/>
      <c r="I146" s="182"/>
      <c r="M146" s="182"/>
    </row>
    <row r="147" spans="1:13" ht="15" customHeight="1">
      <c r="A147" s="432"/>
      <c r="B147" s="127" t="s">
        <v>285</v>
      </c>
      <c r="C147" s="128">
        <f>(32.48*H6)</f>
        <v>45.471999999999994</v>
      </c>
      <c r="D147" s="128">
        <f>(6.5*I6)</f>
        <v>8.58</v>
      </c>
      <c r="E147" s="129">
        <v>1</v>
      </c>
      <c r="F147" s="130">
        <f t="shared" si="4"/>
        <v>54.05199999999999</v>
      </c>
      <c r="G147" s="439"/>
      <c r="H147" s="182"/>
      <c r="I147" s="182"/>
      <c r="M147" s="182"/>
    </row>
    <row r="148" spans="1:13" ht="15" customHeight="1">
      <c r="A148" s="432"/>
      <c r="B148" s="127" t="s">
        <v>286</v>
      </c>
      <c r="C148" s="128">
        <f>(33.72*H6)</f>
        <v>47.208</v>
      </c>
      <c r="D148" s="128">
        <f>(6.68*I6)</f>
        <v>8.8176</v>
      </c>
      <c r="E148" s="129">
        <v>1</v>
      </c>
      <c r="F148" s="130">
        <f t="shared" si="4"/>
        <v>56.0256</v>
      </c>
      <c r="G148" s="439"/>
      <c r="H148" s="182"/>
      <c r="I148" s="182"/>
      <c r="M148" s="182"/>
    </row>
    <row r="149" spans="1:13" ht="15" customHeight="1">
      <c r="A149" s="432"/>
      <c r="B149" s="127" t="s">
        <v>287</v>
      </c>
      <c r="C149" s="128">
        <f>(36.23*H6)</f>
        <v>50.721999999999994</v>
      </c>
      <c r="D149" s="128">
        <f>(7.05*I6)</f>
        <v>9.306000000000001</v>
      </c>
      <c r="E149" s="129">
        <v>1</v>
      </c>
      <c r="F149" s="130">
        <f t="shared" si="4"/>
        <v>60.02799999999999</v>
      </c>
      <c r="G149" s="439"/>
      <c r="H149" s="182"/>
      <c r="I149" s="182"/>
      <c r="M149" s="187"/>
    </row>
    <row r="150" spans="1:13" ht="15" customHeight="1">
      <c r="A150" s="432"/>
      <c r="B150" s="127" t="s">
        <v>288</v>
      </c>
      <c r="C150" s="128">
        <f>(38.73*H6)</f>
        <v>54.221999999999994</v>
      </c>
      <c r="D150" s="128">
        <f>(7.41*I6)</f>
        <v>9.7812</v>
      </c>
      <c r="E150" s="129">
        <v>1</v>
      </c>
      <c r="F150" s="130">
        <f t="shared" si="4"/>
        <v>64.00319999999999</v>
      </c>
      <c r="G150" s="439"/>
      <c r="H150" s="182"/>
      <c r="I150" s="182"/>
      <c r="M150" s="187"/>
    </row>
    <row r="151" spans="1:13" ht="15" customHeight="1">
      <c r="A151" s="432"/>
      <c r="B151" s="127" t="s">
        <v>289</v>
      </c>
      <c r="C151" s="128">
        <f>(41.61*H6)</f>
        <v>58.254</v>
      </c>
      <c r="D151" s="128">
        <f>(8.39*I6)</f>
        <v>11.074800000000002</v>
      </c>
      <c r="E151" s="129">
        <v>1</v>
      </c>
      <c r="F151" s="130">
        <f t="shared" si="4"/>
        <v>69.3288</v>
      </c>
      <c r="G151" s="439"/>
      <c r="H151" s="182"/>
      <c r="I151" s="182"/>
      <c r="M151" s="187"/>
    </row>
    <row r="152" spans="1:14" ht="15" customHeight="1">
      <c r="A152" s="432"/>
      <c r="B152" s="127" t="s">
        <v>290</v>
      </c>
      <c r="C152" s="128">
        <f>(44.11*H6)</f>
        <v>61.754</v>
      </c>
      <c r="D152" s="128">
        <f>(8.75*I6)</f>
        <v>11.55</v>
      </c>
      <c r="E152" s="129">
        <v>1</v>
      </c>
      <c r="F152" s="130">
        <f t="shared" si="4"/>
        <v>73.304</v>
      </c>
      <c r="G152" s="439"/>
      <c r="H152" s="182"/>
      <c r="I152" s="182"/>
      <c r="M152" s="187"/>
      <c r="N152" s="190"/>
    </row>
    <row r="153" spans="1:13" ht="15" customHeight="1">
      <c r="A153" s="432"/>
      <c r="B153" s="127" t="s">
        <v>156</v>
      </c>
      <c r="C153" s="128">
        <f>(46.65*H6)</f>
        <v>65.30999999999999</v>
      </c>
      <c r="D153" s="128">
        <f>(9.17*I6)</f>
        <v>12.1044</v>
      </c>
      <c r="E153" s="129">
        <v>1</v>
      </c>
      <c r="F153" s="130">
        <f t="shared" si="4"/>
        <v>77.41439999999999</v>
      </c>
      <c r="G153" s="439"/>
      <c r="H153" s="182"/>
      <c r="I153" s="182"/>
      <c r="M153" s="187"/>
    </row>
    <row r="154" spans="1:13" ht="12.75" customHeight="1">
      <c r="A154" s="433"/>
      <c r="B154" s="127" t="s">
        <v>157</v>
      </c>
      <c r="C154" s="128">
        <f>(54.72*H6)</f>
        <v>76.60799999999999</v>
      </c>
      <c r="D154" s="128">
        <f>(11.18*I6)</f>
        <v>14.7576</v>
      </c>
      <c r="E154" s="129">
        <v>1</v>
      </c>
      <c r="F154" s="130">
        <f t="shared" si="4"/>
        <v>91.36559999999999</v>
      </c>
      <c r="G154" s="439"/>
      <c r="H154" s="182"/>
      <c r="I154" s="182"/>
      <c r="M154" s="187"/>
    </row>
    <row r="155" spans="1:9" ht="12.75" customHeight="1">
      <c r="A155" s="124"/>
      <c r="B155" s="434"/>
      <c r="C155" s="434"/>
      <c r="D155" s="434"/>
      <c r="E155" s="434"/>
      <c r="F155" s="434"/>
      <c r="G155" s="439"/>
      <c r="H155" s="182"/>
      <c r="I155" s="192"/>
    </row>
    <row r="156" spans="1:9" ht="15" customHeight="1">
      <c r="A156" s="131" t="s">
        <v>306</v>
      </c>
      <c r="B156" s="430" t="s">
        <v>321</v>
      </c>
      <c r="C156" s="430"/>
      <c r="D156" s="430"/>
      <c r="E156" s="430"/>
      <c r="F156" s="430"/>
      <c r="G156" s="439"/>
      <c r="H156" s="183"/>
      <c r="I156" s="183"/>
    </row>
    <row r="157" spans="1:9" ht="12.75" customHeight="1">
      <c r="A157" s="431"/>
      <c r="B157" s="127" t="s">
        <v>291</v>
      </c>
      <c r="C157" s="128">
        <f>(57.37*H6)</f>
        <v>80.318</v>
      </c>
      <c r="D157" s="128">
        <f>(23*I6)</f>
        <v>30.360000000000003</v>
      </c>
      <c r="E157" s="129">
        <v>1</v>
      </c>
      <c r="F157" s="130">
        <f aca="true" t="shared" si="5" ref="F157:F162">(C157+D157)*E157</f>
        <v>110.678</v>
      </c>
      <c r="G157" s="439"/>
      <c r="H157" s="183"/>
      <c r="I157" s="183"/>
    </row>
    <row r="158" spans="1:9" ht="12.75" customHeight="1">
      <c r="A158" s="432"/>
      <c r="B158" s="127" t="s">
        <v>292</v>
      </c>
      <c r="C158" s="128">
        <f>(8.24*H6)</f>
        <v>11.536</v>
      </c>
      <c r="D158" s="128">
        <f>(0.53*I6)</f>
        <v>0.6996000000000001</v>
      </c>
      <c r="E158" s="129">
        <v>1</v>
      </c>
      <c r="F158" s="130">
        <f t="shared" si="5"/>
        <v>12.2356</v>
      </c>
      <c r="G158" s="439"/>
      <c r="H158" s="182"/>
      <c r="I158" s="183"/>
    </row>
    <row r="159" spans="1:9" ht="12.75" customHeight="1">
      <c r="A159" s="432"/>
      <c r="B159" s="127" t="s">
        <v>293</v>
      </c>
      <c r="C159" s="128">
        <f>(26.24*H6)</f>
        <v>36.736</v>
      </c>
      <c r="D159" s="128">
        <f>(11.17*I6)</f>
        <v>14.7444</v>
      </c>
      <c r="E159" s="129">
        <v>1</v>
      </c>
      <c r="F159" s="130">
        <f t="shared" si="5"/>
        <v>51.480399999999996</v>
      </c>
      <c r="G159" s="439"/>
      <c r="H159" s="182"/>
      <c r="I159" s="182"/>
    </row>
    <row r="160" spans="1:9" ht="12.75" customHeight="1">
      <c r="A160" s="432"/>
      <c r="B160" s="127" t="s">
        <v>294</v>
      </c>
      <c r="C160" s="128">
        <f>(57.75*H6)</f>
        <v>80.85</v>
      </c>
      <c r="D160" s="128">
        <f>(12.66*I6)</f>
        <v>16.7112</v>
      </c>
      <c r="E160" s="129">
        <v>1</v>
      </c>
      <c r="F160" s="130">
        <f t="shared" si="5"/>
        <v>97.5612</v>
      </c>
      <c r="G160" s="439"/>
      <c r="H160" s="182"/>
      <c r="I160" s="182"/>
    </row>
    <row r="161" spans="1:9" ht="12.75" customHeight="1">
      <c r="A161" s="432"/>
      <c r="B161" s="127" t="s">
        <v>295</v>
      </c>
      <c r="C161" s="128">
        <f>(81.99*H6)</f>
        <v>114.78599999999999</v>
      </c>
      <c r="D161" s="128">
        <f>(17.73*I6)</f>
        <v>23.4036</v>
      </c>
      <c r="E161" s="129">
        <v>1</v>
      </c>
      <c r="F161" s="130">
        <f t="shared" si="5"/>
        <v>138.18959999999998</v>
      </c>
      <c r="G161" s="439"/>
      <c r="H161" s="182"/>
      <c r="I161" s="182"/>
    </row>
    <row r="162" spans="1:13" ht="12.75" customHeight="1">
      <c r="A162" s="433"/>
      <c r="B162" s="127" t="s">
        <v>296</v>
      </c>
      <c r="C162" s="128">
        <f>(85.87*H6)</f>
        <v>120.218</v>
      </c>
      <c r="D162" s="128">
        <f>(19.22*I6)</f>
        <v>25.3704</v>
      </c>
      <c r="E162" s="129">
        <v>1</v>
      </c>
      <c r="F162" s="130">
        <f t="shared" si="5"/>
        <v>145.5884</v>
      </c>
      <c r="G162" s="439"/>
      <c r="H162" s="183"/>
      <c r="I162" s="183"/>
      <c r="M162" s="182"/>
    </row>
    <row r="163" spans="1:9" ht="12.75" customHeight="1">
      <c r="A163" s="124"/>
      <c r="B163" s="434"/>
      <c r="C163" s="434"/>
      <c r="D163" s="434"/>
      <c r="E163" s="434"/>
      <c r="F163" s="434"/>
      <c r="G163" s="439"/>
      <c r="H163" s="182"/>
      <c r="I163" s="183"/>
    </row>
    <row r="164" spans="1:9" ht="15" customHeight="1">
      <c r="A164" s="131" t="s">
        <v>306</v>
      </c>
      <c r="B164" s="430" t="s">
        <v>322</v>
      </c>
      <c r="C164" s="430"/>
      <c r="D164" s="430"/>
      <c r="E164" s="430"/>
      <c r="F164" s="430"/>
      <c r="G164" s="439"/>
      <c r="H164" s="182"/>
      <c r="I164" s="182"/>
    </row>
    <row r="165" spans="1:9" ht="12.75" customHeight="1">
      <c r="A165" s="431"/>
      <c r="B165" s="127" t="s">
        <v>121</v>
      </c>
      <c r="C165" s="128">
        <f>(1.62*H6)</f>
        <v>2.268</v>
      </c>
      <c r="D165" s="128">
        <f>(6.33*I6)</f>
        <v>8.3556</v>
      </c>
      <c r="E165" s="129">
        <v>1</v>
      </c>
      <c r="F165" s="130">
        <f>(C165+D165)*E165</f>
        <v>10.6236</v>
      </c>
      <c r="G165" s="439"/>
      <c r="H165" s="182"/>
      <c r="I165" s="182"/>
    </row>
    <row r="166" spans="1:9" ht="12.75" customHeight="1">
      <c r="A166" s="432"/>
      <c r="B166" s="127" t="s">
        <v>297</v>
      </c>
      <c r="C166" s="128">
        <f>(0.35*H6)</f>
        <v>0.48999999999999994</v>
      </c>
      <c r="D166" s="128">
        <f>(1.36*I6)</f>
        <v>1.7952000000000001</v>
      </c>
      <c r="E166" s="129">
        <v>1</v>
      </c>
      <c r="F166" s="130">
        <f>(C166+D166)*E166</f>
        <v>2.2852</v>
      </c>
      <c r="G166" s="439"/>
      <c r="H166" s="182"/>
      <c r="I166" s="182"/>
    </row>
    <row r="167" spans="1:9" ht="12.75" customHeight="1">
      <c r="A167" s="432"/>
      <c r="B167" s="127" t="s">
        <v>120</v>
      </c>
      <c r="C167" s="128">
        <f>(0.28*H6)</f>
        <v>0.392</v>
      </c>
      <c r="D167" s="128">
        <f>(1.09*I6)</f>
        <v>1.4388</v>
      </c>
      <c r="E167" s="129">
        <v>1</v>
      </c>
      <c r="F167" s="130">
        <f>(C167+D167)*E167</f>
        <v>1.8308</v>
      </c>
      <c r="G167" s="439"/>
      <c r="H167" s="182"/>
      <c r="I167" s="193"/>
    </row>
    <row r="168" spans="1:9" ht="12.75" customHeight="1">
      <c r="A168" s="433"/>
      <c r="B168" s="127" t="s">
        <v>298</v>
      </c>
      <c r="C168" s="128">
        <f>(0.25*H6)</f>
        <v>0.35</v>
      </c>
      <c r="D168" s="128">
        <f>(0.57*I6)</f>
        <v>0.7524</v>
      </c>
      <c r="E168" s="129">
        <v>1</v>
      </c>
      <c r="F168" s="130">
        <f>(C168+D168)*E168</f>
        <v>1.1023999999999998</v>
      </c>
      <c r="G168" s="439"/>
      <c r="H168" s="182"/>
      <c r="I168" s="182"/>
    </row>
    <row r="169" spans="1:14" ht="12.75" customHeight="1">
      <c r="A169" s="121"/>
      <c r="B169" s="435"/>
      <c r="C169" s="435"/>
      <c r="D169" s="435"/>
      <c r="E169" s="435"/>
      <c r="F169" s="435"/>
      <c r="G169" s="439"/>
      <c r="H169" s="178"/>
      <c r="I169" s="182"/>
      <c r="N169" s="191"/>
    </row>
    <row r="170" spans="8:9" ht="12.75">
      <c r="H170" s="178"/>
      <c r="I170" s="182"/>
    </row>
    <row r="171" spans="8:9" ht="12.75">
      <c r="H171" s="178"/>
      <c r="I171" s="182"/>
    </row>
    <row r="172" spans="8:9" ht="12.75">
      <c r="H172" s="178"/>
      <c r="I172" s="182"/>
    </row>
    <row r="173" spans="8:9" ht="12.75">
      <c r="H173" s="178"/>
      <c r="I173" s="182"/>
    </row>
    <row r="174" spans="8:9" ht="12.75">
      <c r="H174" s="178"/>
      <c r="I174" s="182"/>
    </row>
    <row r="175" spans="8:9" ht="12.75">
      <c r="H175" s="178"/>
      <c r="I175" s="182"/>
    </row>
    <row r="176" spans="8:9" ht="12.75">
      <c r="H176" s="178"/>
      <c r="I176" s="182"/>
    </row>
    <row r="177" spans="8:9" ht="12.75">
      <c r="H177" s="178"/>
      <c r="I177" s="182"/>
    </row>
    <row r="178" spans="8:9" ht="12.75">
      <c r="H178" s="178"/>
      <c r="I178" s="182"/>
    </row>
    <row r="179" spans="8:9" ht="12.75">
      <c r="H179" s="178"/>
      <c r="I179" s="182"/>
    </row>
    <row r="180" spans="8:9" ht="12.75">
      <c r="H180" s="178"/>
      <c r="I180" s="182"/>
    </row>
    <row r="181" spans="8:9" ht="12.75">
      <c r="H181" s="178"/>
      <c r="I181" s="182"/>
    </row>
    <row r="182" spans="8:9" ht="12.75">
      <c r="H182" s="178"/>
      <c r="I182" s="182"/>
    </row>
    <row r="183" spans="8:9" ht="12.75">
      <c r="H183" s="178"/>
      <c r="I183" s="182"/>
    </row>
    <row r="184" spans="8:9" ht="12.75">
      <c r="H184" s="178"/>
      <c r="I184" s="182"/>
    </row>
    <row r="185" spans="8:9" ht="12.75">
      <c r="H185" s="178"/>
      <c r="I185" s="182"/>
    </row>
    <row r="186" spans="8:9" ht="12.75">
      <c r="H186" s="178"/>
      <c r="I186" s="182"/>
    </row>
    <row r="187" spans="8:9" ht="12.75">
      <c r="H187" s="178"/>
      <c r="I187" s="182"/>
    </row>
    <row r="188" spans="8:9" ht="12.75">
      <c r="H188" s="178"/>
      <c r="I188" s="182"/>
    </row>
    <row r="189" spans="8:9" ht="12.75">
      <c r="H189" s="178"/>
      <c r="I189" s="182"/>
    </row>
    <row r="190" spans="8:9" ht="12.75">
      <c r="H190" s="178"/>
      <c r="I190" s="182"/>
    </row>
    <row r="191" spans="8:9" ht="12.75">
      <c r="H191" s="178"/>
      <c r="I191" s="182"/>
    </row>
    <row r="192" spans="8:9" ht="12.75">
      <c r="H192" s="178"/>
      <c r="I192" s="182"/>
    </row>
    <row r="193" spans="8:9" ht="12.75">
      <c r="H193" s="178"/>
      <c r="I193" s="182"/>
    </row>
  </sheetData>
  <sheetProtection sheet="1"/>
  <mergeCells count="58">
    <mergeCell ref="B1:F1"/>
    <mergeCell ref="G1:G169"/>
    <mergeCell ref="B2:F2"/>
    <mergeCell ref="H2:I3"/>
    <mergeCell ref="A3:A4"/>
    <mergeCell ref="B3:B4"/>
    <mergeCell ref="C3:D3"/>
    <mergeCell ref="E3:F3"/>
    <mergeCell ref="H4:I4"/>
    <mergeCell ref="B5:F5"/>
    <mergeCell ref="B6:F6"/>
    <mergeCell ref="A7:A8"/>
    <mergeCell ref="B8:F8"/>
    <mergeCell ref="B9:F9"/>
    <mergeCell ref="A10:A12"/>
    <mergeCell ref="B13:F13"/>
    <mergeCell ref="B14:F14"/>
    <mergeCell ref="A15:A31"/>
    <mergeCell ref="B32:F32"/>
    <mergeCell ref="B33:F33"/>
    <mergeCell ref="A34:A38"/>
    <mergeCell ref="B39:F39"/>
    <mergeCell ref="B40:F40"/>
    <mergeCell ref="A41:A42"/>
    <mergeCell ref="B43:F43"/>
    <mergeCell ref="B44:F44"/>
    <mergeCell ref="A45:A51"/>
    <mergeCell ref="B52:F52"/>
    <mergeCell ref="B53:F53"/>
    <mergeCell ref="A54:A55"/>
    <mergeCell ref="B56:F56"/>
    <mergeCell ref="B57:F57"/>
    <mergeCell ref="A58:A96"/>
    <mergeCell ref="B97:F97"/>
    <mergeCell ref="B125:F125"/>
    <mergeCell ref="B98:F98"/>
    <mergeCell ref="A99:A111"/>
    <mergeCell ref="B112:F112"/>
    <mergeCell ref="B113:F113"/>
    <mergeCell ref="A114:A115"/>
    <mergeCell ref="B116:F116"/>
    <mergeCell ref="B169:F169"/>
    <mergeCell ref="B155:F155"/>
    <mergeCell ref="B156:F156"/>
    <mergeCell ref="A157:A162"/>
    <mergeCell ref="B163:F163"/>
    <mergeCell ref="B117:F117"/>
    <mergeCell ref="A118:A119"/>
    <mergeCell ref="B119:F119"/>
    <mergeCell ref="B120:F120"/>
    <mergeCell ref="A121:A124"/>
    <mergeCell ref="B164:F164"/>
    <mergeCell ref="A165:A168"/>
    <mergeCell ref="B126:F126"/>
    <mergeCell ref="A127:A131"/>
    <mergeCell ref="B132:F132"/>
    <mergeCell ref="B133:F133"/>
    <mergeCell ref="A134:A154"/>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theme="7" tint="-0.24997000396251678"/>
  </sheetPr>
  <dimension ref="A1:I52"/>
  <sheetViews>
    <sheetView zoomScalePageLayoutView="0" workbookViewId="0" topLeftCell="A22">
      <selection activeCell="C60" sqref="C60"/>
    </sheetView>
  </sheetViews>
  <sheetFormatPr defaultColWidth="9.140625" defaultRowHeight="12.75"/>
  <cols>
    <col min="1" max="1" width="28.421875" style="0" customWidth="1"/>
    <col min="2" max="2" width="15.28125" style="0" customWidth="1"/>
    <col min="3" max="3" width="15.57421875" style="0" customWidth="1"/>
    <col min="4" max="4" width="25.140625" style="0" customWidth="1"/>
    <col min="5" max="5" width="0.85546875" style="0" hidden="1" customWidth="1"/>
    <col min="6" max="6" width="2.00390625" style="0" customWidth="1"/>
    <col min="7" max="7" width="23.140625" style="0" customWidth="1"/>
    <col min="8" max="8" width="0.5625" style="0" customWidth="1"/>
    <col min="9" max="9" width="36.00390625" style="0" customWidth="1"/>
  </cols>
  <sheetData>
    <row r="1" spans="1:9" ht="12.75" customHeight="1">
      <c r="A1" s="446" t="s">
        <v>303</v>
      </c>
      <c r="B1" s="332"/>
      <c r="C1" s="332"/>
      <c r="D1" s="332"/>
      <c r="E1" s="332"/>
      <c r="F1" s="447"/>
      <c r="G1" s="269" t="s">
        <v>167</v>
      </c>
      <c r="H1" s="85"/>
      <c r="I1" t="s">
        <v>381</v>
      </c>
    </row>
    <row r="2" spans="1:8" ht="12.75" customHeight="1">
      <c r="A2" s="332"/>
      <c r="B2" s="332"/>
      <c r="C2" s="332"/>
      <c r="D2" s="332"/>
      <c r="E2" s="332"/>
      <c r="F2" s="448"/>
      <c r="G2" s="269"/>
      <c r="H2" s="84"/>
    </row>
    <row r="3" spans="1:8" ht="12.75" customHeight="1">
      <c r="A3" s="314" t="s">
        <v>14</v>
      </c>
      <c r="B3" s="451" t="s">
        <v>13</v>
      </c>
      <c r="C3" s="451" t="s">
        <v>15</v>
      </c>
      <c r="D3" s="303" t="s">
        <v>16</v>
      </c>
      <c r="E3" s="453"/>
      <c r="F3" s="448"/>
      <c r="G3" s="269"/>
      <c r="H3" s="60"/>
    </row>
    <row r="4" spans="1:8" ht="15.75" customHeight="1">
      <c r="A4" s="315"/>
      <c r="B4" s="452"/>
      <c r="C4" s="452"/>
      <c r="D4" s="454"/>
      <c r="E4" s="455"/>
      <c r="F4" s="448"/>
      <c r="G4" s="104"/>
      <c r="H4" s="60"/>
    </row>
    <row r="5" spans="1:8" ht="12.75" customHeight="1">
      <c r="A5" s="456"/>
      <c r="B5" s="457"/>
      <c r="C5" s="457"/>
      <c r="D5" s="457"/>
      <c r="E5" s="72"/>
      <c r="F5" s="448"/>
      <c r="G5" s="104"/>
      <c r="H5" s="60"/>
    </row>
    <row r="6" spans="1:8" ht="12.75" customHeight="1">
      <c r="A6" s="22" t="s">
        <v>120</v>
      </c>
      <c r="B6" s="8">
        <v>0.67</v>
      </c>
      <c r="C6" s="7">
        <f>MACH1920!F167</f>
        <v>1.8308</v>
      </c>
      <c r="D6" s="7">
        <f>B6*C6</f>
        <v>1.226636</v>
      </c>
      <c r="E6" s="5"/>
      <c r="F6" s="448"/>
      <c r="G6" s="458" t="s">
        <v>417</v>
      </c>
      <c r="H6" s="60"/>
    </row>
    <row r="7" spans="1:8" ht="12.75" customHeight="1">
      <c r="A7" s="22" t="s">
        <v>135</v>
      </c>
      <c r="B7" s="8">
        <v>0.67</v>
      </c>
      <c r="C7" s="7">
        <f>MACH1920!F140</f>
        <v>30.702799999999996</v>
      </c>
      <c r="D7" s="7">
        <f>B7*C7</f>
        <v>20.570876</v>
      </c>
      <c r="E7" s="5"/>
      <c r="F7" s="448"/>
      <c r="G7" s="459"/>
      <c r="H7" s="60"/>
    </row>
    <row r="8" spans="1:8" ht="12.75" customHeight="1">
      <c r="A8" s="96"/>
      <c r="B8" s="97"/>
      <c r="C8" s="97"/>
      <c r="D8" s="97"/>
      <c r="E8" s="5"/>
      <c r="F8" s="448"/>
      <c r="G8" s="459"/>
      <c r="H8" s="60"/>
    </row>
    <row r="9" spans="1:8" ht="12.75" customHeight="1">
      <c r="A9" s="22" t="s">
        <v>137</v>
      </c>
      <c r="B9" s="8">
        <v>0.66</v>
      </c>
      <c r="C9" s="7">
        <f>MACH1920!F129</f>
        <v>9.4356</v>
      </c>
      <c r="D9" s="7">
        <f>B9*C9</f>
        <v>6.227496000000001</v>
      </c>
      <c r="E9" s="5"/>
      <c r="F9" s="448"/>
      <c r="G9" s="459"/>
      <c r="H9" s="60"/>
    </row>
    <row r="10" spans="1:8" ht="12.75" customHeight="1">
      <c r="A10" s="22" t="s">
        <v>135</v>
      </c>
      <c r="B10" s="8">
        <v>0.66</v>
      </c>
      <c r="C10" s="7">
        <f>MACH1920!F140</f>
        <v>30.702799999999996</v>
      </c>
      <c r="D10" s="7">
        <f>B10*C10</f>
        <v>20.263848</v>
      </c>
      <c r="E10" s="5"/>
      <c r="F10" s="448"/>
      <c r="G10" s="459"/>
      <c r="H10" s="60"/>
    </row>
    <row r="11" spans="1:8" ht="12.75" customHeight="1">
      <c r="A11" s="392"/>
      <c r="B11" s="277"/>
      <c r="C11" s="277"/>
      <c r="D11" s="393"/>
      <c r="E11" s="5"/>
      <c r="F11" s="448"/>
      <c r="G11" s="459"/>
      <c r="H11" s="60"/>
    </row>
    <row r="12" spans="1:8" ht="12.75" customHeight="1">
      <c r="A12" s="22" t="s">
        <v>119</v>
      </c>
      <c r="B12" s="8">
        <v>3.25</v>
      </c>
      <c r="C12" s="7">
        <f>MACH1920!F131</f>
        <v>17.314</v>
      </c>
      <c r="D12" s="7">
        <f>B12*C12</f>
        <v>56.2705</v>
      </c>
      <c r="E12" s="5"/>
      <c r="F12" s="448"/>
      <c r="G12" s="459"/>
      <c r="H12" s="60"/>
    </row>
    <row r="13" spans="1:8" ht="12.75" customHeight="1">
      <c r="A13" s="22" t="s">
        <v>135</v>
      </c>
      <c r="B13" s="8">
        <v>3.25</v>
      </c>
      <c r="C13" s="7">
        <f>MACH1920!F140</f>
        <v>30.702799999999996</v>
      </c>
      <c r="D13" s="7">
        <f>B13*C13</f>
        <v>99.7841</v>
      </c>
      <c r="E13" s="5"/>
      <c r="F13" s="448"/>
      <c r="G13" s="459"/>
      <c r="H13" s="60"/>
    </row>
    <row r="14" spans="1:8" ht="12.75" customHeight="1">
      <c r="A14" s="96"/>
      <c r="B14" s="97"/>
      <c r="C14" s="97"/>
      <c r="D14" s="97"/>
      <c r="E14" s="5"/>
      <c r="F14" s="448"/>
      <c r="G14" s="104"/>
      <c r="H14" s="60"/>
    </row>
    <row r="15" spans="1:8" ht="12.75" customHeight="1">
      <c r="A15" s="22" t="s">
        <v>122</v>
      </c>
      <c r="B15" s="8">
        <v>0.1</v>
      </c>
      <c r="C15" s="7">
        <f>MACH1920!F63</f>
        <v>2.2572</v>
      </c>
      <c r="D15" s="7">
        <f>B15*C15</f>
        <v>0.22572000000000003</v>
      </c>
      <c r="E15" s="5"/>
      <c r="F15" s="448"/>
      <c r="G15" s="104"/>
      <c r="H15" s="60"/>
    </row>
    <row r="16" spans="1:8" ht="12.75" customHeight="1">
      <c r="A16" s="22" t="s">
        <v>158</v>
      </c>
      <c r="B16" s="8">
        <v>0.1</v>
      </c>
      <c r="C16" s="7">
        <f>MACH1920!F145</f>
        <v>44.3836</v>
      </c>
      <c r="D16" s="7">
        <f>B16*C16</f>
        <v>4.43836</v>
      </c>
      <c r="E16" s="5"/>
      <c r="F16" s="448"/>
      <c r="G16" s="104"/>
      <c r="H16" s="60"/>
    </row>
    <row r="17" spans="1:8" ht="12.75" customHeight="1">
      <c r="A17" s="96"/>
      <c r="B17" s="97"/>
      <c r="C17" s="97"/>
      <c r="D17" s="97"/>
      <c r="E17" s="5"/>
      <c r="F17" s="448"/>
      <c r="G17" s="104"/>
      <c r="H17" s="60"/>
    </row>
    <row r="18" spans="1:8" ht="12.75" customHeight="1">
      <c r="A18" s="22" t="s">
        <v>123</v>
      </c>
      <c r="B18" s="8">
        <v>0.31</v>
      </c>
      <c r="C18" s="7">
        <f>MACH1920!F72</f>
        <v>12.3348</v>
      </c>
      <c r="D18" s="7">
        <f>B18*C18</f>
        <v>3.823788</v>
      </c>
      <c r="E18" s="5"/>
      <c r="F18" s="448"/>
      <c r="G18" s="104"/>
      <c r="H18" s="60"/>
    </row>
    <row r="19" spans="1:8" ht="12.75" customHeight="1">
      <c r="A19" s="22" t="s">
        <v>158</v>
      </c>
      <c r="B19" s="8">
        <v>0.31</v>
      </c>
      <c r="C19" s="7">
        <f>MACH1920!F145</f>
        <v>44.3836</v>
      </c>
      <c r="D19" s="7">
        <f>B19*C19</f>
        <v>13.758916000000001</v>
      </c>
      <c r="E19" s="5"/>
      <c r="F19" s="448"/>
      <c r="G19" s="104"/>
      <c r="H19" s="60"/>
    </row>
    <row r="20" spans="1:8" ht="12.75" customHeight="1">
      <c r="A20" s="96"/>
      <c r="B20" s="97"/>
      <c r="C20" s="97"/>
      <c r="D20" s="97"/>
      <c r="E20" s="5"/>
      <c r="F20" s="448"/>
      <c r="G20" s="104"/>
      <c r="H20" s="60"/>
    </row>
    <row r="21" spans="1:8" ht="12.75" customHeight="1">
      <c r="A21" s="9" t="s">
        <v>126</v>
      </c>
      <c r="B21" s="8">
        <v>0.44</v>
      </c>
      <c r="C21" s="7">
        <f>MACH1920!F66</f>
        <v>19.2364</v>
      </c>
      <c r="D21" s="7">
        <f>B21*C21</f>
        <v>8.464015999999999</v>
      </c>
      <c r="E21" s="5"/>
      <c r="F21" s="448"/>
      <c r="G21" s="104"/>
      <c r="H21" s="60"/>
    </row>
    <row r="22" spans="1:8" ht="12.75" customHeight="1">
      <c r="A22" s="22" t="s">
        <v>136</v>
      </c>
      <c r="B22" s="8">
        <v>0.44</v>
      </c>
      <c r="C22" s="7">
        <f>MACH1920!F147</f>
        <v>54.05199999999999</v>
      </c>
      <c r="D22" s="7">
        <f>B22*C22</f>
        <v>23.782879999999995</v>
      </c>
      <c r="E22" s="5"/>
      <c r="F22" s="448"/>
      <c r="G22" s="104"/>
      <c r="H22" s="60"/>
    </row>
    <row r="23" spans="1:8" ht="12.75" customHeight="1">
      <c r="A23" s="392"/>
      <c r="B23" s="277"/>
      <c r="C23" s="277"/>
      <c r="D23" s="393"/>
      <c r="E23" s="5"/>
      <c r="F23" s="448"/>
      <c r="G23" s="104"/>
      <c r="H23" s="60"/>
    </row>
    <row r="24" spans="1:8" ht="12.75" customHeight="1">
      <c r="A24" s="62" t="s">
        <v>160</v>
      </c>
      <c r="B24" s="8">
        <v>1.33</v>
      </c>
      <c r="C24" s="7">
        <f>MACH1920!F106</f>
        <v>3.9364</v>
      </c>
      <c r="D24" s="7">
        <f>B24*C24</f>
        <v>5.235412</v>
      </c>
      <c r="E24" s="5"/>
      <c r="F24" s="448"/>
      <c r="G24" s="104"/>
      <c r="H24" s="60"/>
    </row>
    <row r="25" spans="1:8" ht="12.75" customHeight="1">
      <c r="A25" s="22" t="s">
        <v>136</v>
      </c>
      <c r="B25" s="8">
        <v>1.33</v>
      </c>
      <c r="C25" s="7">
        <f>MACH1920!F147</f>
        <v>54.05199999999999</v>
      </c>
      <c r="D25" s="7">
        <f>B25*C25</f>
        <v>71.88915999999999</v>
      </c>
      <c r="E25" s="5"/>
      <c r="F25" s="448"/>
      <c r="G25" s="104"/>
      <c r="H25" s="60"/>
    </row>
    <row r="26" spans="1:8" ht="12.75" customHeight="1">
      <c r="A26" s="392"/>
      <c r="B26" s="277"/>
      <c r="C26" s="277"/>
      <c r="D26" s="393"/>
      <c r="E26" s="5"/>
      <c r="F26" s="448"/>
      <c r="G26" s="104"/>
      <c r="H26" s="60"/>
    </row>
    <row r="27" spans="1:8" ht="12.75" customHeight="1">
      <c r="A27" s="22" t="s">
        <v>159</v>
      </c>
      <c r="B27" s="8">
        <v>1.33</v>
      </c>
      <c r="C27" s="7">
        <f>MACH1920!F96</f>
        <v>18.1144</v>
      </c>
      <c r="D27" s="7">
        <f>B27*C27</f>
        <v>24.092152000000002</v>
      </c>
      <c r="E27" s="5"/>
      <c r="F27" s="448"/>
      <c r="G27" s="104"/>
      <c r="H27" s="60"/>
    </row>
    <row r="28" spans="1:8" ht="12.75" customHeight="1">
      <c r="A28" s="22" t="s">
        <v>136</v>
      </c>
      <c r="B28" s="8">
        <v>1.33</v>
      </c>
      <c r="C28" s="7">
        <f>MACH1920!F147</f>
        <v>54.05199999999999</v>
      </c>
      <c r="D28" s="7">
        <f>B28*C28</f>
        <v>71.88915999999999</v>
      </c>
      <c r="E28" s="5"/>
      <c r="F28" s="448"/>
      <c r="G28" s="104"/>
      <c r="H28" s="60"/>
    </row>
    <row r="29" spans="1:8" ht="12.75" customHeight="1">
      <c r="A29" s="96"/>
      <c r="B29" s="97"/>
      <c r="C29" s="97"/>
      <c r="D29" s="97"/>
      <c r="E29" s="5"/>
      <c r="F29" s="449"/>
      <c r="G29" s="104"/>
      <c r="H29" s="60"/>
    </row>
    <row r="30" spans="1:7" ht="12.75" customHeight="1">
      <c r="A30" s="22" t="s">
        <v>116</v>
      </c>
      <c r="B30" s="8">
        <v>1.28</v>
      </c>
      <c r="C30" s="7">
        <f>MACH1920!F24</f>
        <v>5.568</v>
      </c>
      <c r="D30" s="7">
        <f>B30*C30</f>
        <v>7.12704</v>
      </c>
      <c r="E30" s="56"/>
      <c r="F30" s="448"/>
      <c r="G30" s="459"/>
    </row>
    <row r="31" spans="1:7" ht="12.75">
      <c r="A31" s="5" t="s">
        <v>156</v>
      </c>
      <c r="B31" s="8">
        <v>1.28</v>
      </c>
      <c r="C31" s="7">
        <f>MACH1920!F153</f>
        <v>77.41439999999999</v>
      </c>
      <c r="D31" s="7">
        <f>B31*C31</f>
        <v>99.09043199999998</v>
      </c>
      <c r="E31" s="56"/>
      <c r="F31" s="448"/>
      <c r="G31" s="459"/>
    </row>
    <row r="32" spans="1:7" ht="12.75">
      <c r="A32" s="290"/>
      <c r="B32" s="290"/>
      <c r="C32" s="290"/>
      <c r="D32" s="413"/>
      <c r="E32" s="56"/>
      <c r="F32" s="448"/>
      <c r="G32" s="459"/>
    </row>
    <row r="33" spans="1:7" ht="12.75">
      <c r="A33" s="22" t="s">
        <v>117</v>
      </c>
      <c r="B33" s="8">
        <v>0.36</v>
      </c>
      <c r="C33" s="7">
        <f>MACH1920!F51</f>
        <v>2.2348</v>
      </c>
      <c r="D33" s="7">
        <f aca="true" t="shared" si="0" ref="D33:D44">B33*C33</f>
        <v>0.8045279999999999</v>
      </c>
      <c r="E33" s="56"/>
      <c r="F33" s="448"/>
      <c r="G33" s="459"/>
    </row>
    <row r="34" spans="1:7" ht="12.75">
      <c r="A34" s="22" t="s">
        <v>157</v>
      </c>
      <c r="B34" s="8">
        <v>0.36</v>
      </c>
      <c r="C34" s="7">
        <f>MACH1920!F154</f>
        <v>91.36559999999999</v>
      </c>
      <c r="D34" s="7">
        <f t="shared" si="0"/>
        <v>32.89161599999999</v>
      </c>
      <c r="E34" s="56"/>
      <c r="F34" s="448"/>
      <c r="G34" s="459"/>
    </row>
    <row r="35" spans="1:7" ht="12.75">
      <c r="A35" s="392"/>
      <c r="B35" s="277"/>
      <c r="C35" s="277"/>
      <c r="D35" s="393"/>
      <c r="E35" s="56"/>
      <c r="F35" s="448"/>
      <c r="G35" s="194"/>
    </row>
    <row r="36" spans="1:6" ht="12.75">
      <c r="A36" s="22" t="s">
        <v>118</v>
      </c>
      <c r="B36" s="8">
        <v>0.93</v>
      </c>
      <c r="C36" s="7">
        <f>MACH1920!F47</f>
        <v>8.1272</v>
      </c>
      <c r="D36" s="7">
        <f t="shared" si="0"/>
        <v>7.558296</v>
      </c>
      <c r="E36" s="56"/>
      <c r="F36" s="448"/>
    </row>
    <row r="37" spans="1:6" ht="12.75">
      <c r="A37" s="22" t="s">
        <v>157</v>
      </c>
      <c r="B37" s="8">
        <v>0.93</v>
      </c>
      <c r="C37" s="7">
        <f>MACH1920!F154</f>
        <v>91.36559999999999</v>
      </c>
      <c r="D37" s="7">
        <f t="shared" si="0"/>
        <v>84.97000799999999</v>
      </c>
      <c r="E37" s="56"/>
      <c r="F37" s="448"/>
    </row>
    <row r="38" spans="1:6" ht="12.75">
      <c r="A38" s="392"/>
      <c r="B38" s="277"/>
      <c r="C38" s="277"/>
      <c r="D38" s="393"/>
      <c r="E38" s="56"/>
      <c r="F38" s="448"/>
    </row>
    <row r="39" spans="1:6" ht="12.75">
      <c r="A39" s="22" t="s">
        <v>383</v>
      </c>
      <c r="B39" s="8">
        <v>0.4</v>
      </c>
      <c r="C39" s="7">
        <f>MACH1920!F15</f>
        <v>25.594800000000003</v>
      </c>
      <c r="D39" s="7">
        <f t="shared" si="0"/>
        <v>10.237920000000003</v>
      </c>
      <c r="E39" s="56"/>
      <c r="F39" s="448"/>
    </row>
    <row r="40" spans="1:6" ht="12.75">
      <c r="A40" s="22" t="s">
        <v>157</v>
      </c>
      <c r="B40" s="8">
        <v>0.4</v>
      </c>
      <c r="C40" s="7">
        <f>MACH1920!F154</f>
        <v>91.36559999999999</v>
      </c>
      <c r="D40" s="7">
        <f t="shared" si="0"/>
        <v>36.54624</v>
      </c>
      <c r="E40" s="56"/>
      <c r="F40" s="448"/>
    </row>
    <row r="41" spans="1:6" ht="12.75">
      <c r="A41" s="392"/>
      <c r="B41" s="277"/>
      <c r="C41" s="277"/>
      <c r="D41" s="393"/>
      <c r="E41" s="56"/>
      <c r="F41" s="448"/>
    </row>
    <row r="42" spans="1:6" ht="15">
      <c r="A42" s="232" t="s">
        <v>17</v>
      </c>
      <c r="B42" s="233"/>
      <c r="C42" s="233"/>
      <c r="D42" s="234"/>
      <c r="E42" s="56"/>
      <c r="F42" s="448"/>
    </row>
    <row r="43" spans="1:6" ht="12.75">
      <c r="A43" s="22" t="s">
        <v>125</v>
      </c>
      <c r="B43" s="68">
        <v>180</v>
      </c>
      <c r="C43" s="7">
        <f>MACH1920!F73</f>
        <v>6.9799999999999995</v>
      </c>
      <c r="D43" s="7">
        <f t="shared" si="0"/>
        <v>1256.3999999999999</v>
      </c>
      <c r="E43" s="56"/>
      <c r="F43" s="448"/>
    </row>
    <row r="44" spans="1:6" ht="12.75">
      <c r="A44" s="22" t="s">
        <v>124</v>
      </c>
      <c r="B44" s="68">
        <v>45</v>
      </c>
      <c r="C44" s="7">
        <f>MACH1920!F75</f>
        <v>20.9408</v>
      </c>
      <c r="D44" s="7">
        <f t="shared" si="0"/>
        <v>942.336</v>
      </c>
      <c r="E44" s="56"/>
      <c r="F44" s="448"/>
    </row>
    <row r="45" spans="1:6" ht="12.75">
      <c r="A45" s="409"/>
      <c r="B45" s="290"/>
      <c r="C45" s="290"/>
      <c r="D45" s="413"/>
      <c r="E45" s="57"/>
      <c r="F45" s="448"/>
    </row>
    <row r="46" spans="1:6" ht="12.75">
      <c r="A46" s="460" t="s">
        <v>76</v>
      </c>
      <c r="B46" s="461"/>
      <c r="C46" s="462"/>
      <c r="D46" s="7">
        <f>D7+D10+D13+D16+D19+D22+D25+D28+D31+D34+D37+D40</f>
        <v>579.875596</v>
      </c>
      <c r="E46" s="56"/>
      <c r="F46" s="448"/>
    </row>
    <row r="47" spans="1:6" ht="12.75">
      <c r="A47" s="460" t="s">
        <v>77</v>
      </c>
      <c r="B47" s="461"/>
      <c r="C47" s="462"/>
      <c r="D47" s="7">
        <f>D6+D9+D12+D15+D18+D21+D24+D27+D30+D33+D36+D39</f>
        <v>131.29350399999998</v>
      </c>
      <c r="E47" s="56"/>
      <c r="F47" s="448"/>
    </row>
    <row r="48" spans="1:6" ht="12.75">
      <c r="A48" s="463" t="s">
        <v>323</v>
      </c>
      <c r="B48" s="464"/>
      <c r="C48" s="114">
        <v>15.5</v>
      </c>
      <c r="D48" s="7">
        <f>(B7+B10+B13+B16+B19+B22+B25+B28+B31+B34+B37+B40)*C48</f>
        <v>171.42999999999998</v>
      </c>
      <c r="E48" s="56"/>
      <c r="F48" s="448"/>
    </row>
    <row r="49" spans="1:6" ht="12.75">
      <c r="A49" s="272" t="s">
        <v>85</v>
      </c>
      <c r="B49" s="273"/>
      <c r="C49" s="274"/>
      <c r="D49" s="34">
        <f>SUM(D43:D44)</f>
        <v>2198.736</v>
      </c>
      <c r="E49" s="58"/>
      <c r="F49" s="448"/>
    </row>
    <row r="50" spans="1:6" ht="12.75">
      <c r="A50" s="290"/>
      <c r="B50" s="290"/>
      <c r="C50" s="290"/>
      <c r="D50" s="290"/>
      <c r="E50" s="57"/>
      <c r="F50" s="448"/>
    </row>
    <row r="51" spans="1:6" ht="12.75">
      <c r="A51" s="272" t="s">
        <v>16</v>
      </c>
      <c r="B51" s="273"/>
      <c r="C51" s="274"/>
      <c r="D51" s="34">
        <f>SUM(D46:D49)</f>
        <v>3081.3351</v>
      </c>
      <c r="E51" s="58"/>
      <c r="F51" s="448"/>
    </row>
    <row r="52" spans="1:6" ht="12.75">
      <c r="A52" s="290"/>
      <c r="B52" s="290"/>
      <c r="C52" s="290"/>
      <c r="D52" s="290"/>
      <c r="F52" s="450"/>
    </row>
  </sheetData>
  <sheetProtection sheet="1"/>
  <mergeCells count="26">
    <mergeCell ref="A49:C49"/>
    <mergeCell ref="A50:D50"/>
    <mergeCell ref="A51:C51"/>
    <mergeCell ref="A52:D52"/>
    <mergeCell ref="A41:D41"/>
    <mergeCell ref="A42:D42"/>
    <mergeCell ref="A45:D45"/>
    <mergeCell ref="A46:C46"/>
    <mergeCell ref="A47:C47"/>
    <mergeCell ref="A48:B48"/>
    <mergeCell ref="A23:D23"/>
    <mergeCell ref="A26:D26"/>
    <mergeCell ref="G30:G34"/>
    <mergeCell ref="A32:D32"/>
    <mergeCell ref="A35:D35"/>
    <mergeCell ref="A38:D38"/>
    <mergeCell ref="A1:E2"/>
    <mergeCell ref="F1:F52"/>
    <mergeCell ref="G1:G3"/>
    <mergeCell ref="A3:A4"/>
    <mergeCell ref="B3:B4"/>
    <mergeCell ref="C3:C4"/>
    <mergeCell ref="D3:E4"/>
    <mergeCell ref="A5:D5"/>
    <mergeCell ref="G6:G13"/>
    <mergeCell ref="A11:D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2060"/>
  </sheetPr>
  <dimension ref="A1:I70"/>
  <sheetViews>
    <sheetView zoomScalePageLayoutView="0" workbookViewId="0" topLeftCell="A1">
      <pane ySplit="4" topLeftCell="A50" activePane="bottomLeft" state="frozen"/>
      <selection pane="topLeft" activeCell="I39" sqref="I39"/>
      <selection pane="bottomLeft" activeCell="A31" sqref="A31"/>
    </sheetView>
  </sheetViews>
  <sheetFormatPr defaultColWidth="8.8515625" defaultRowHeight="12.75"/>
  <cols>
    <col min="1" max="1" width="72.421875" style="1" customWidth="1"/>
    <col min="2" max="2" width="8.28125" style="2" customWidth="1"/>
    <col min="3" max="3" width="9.7109375" style="2" customWidth="1"/>
    <col min="4" max="4" width="11.00390625" style="2" customWidth="1"/>
    <col min="5" max="5" width="20.7109375" style="2" customWidth="1"/>
    <col min="6" max="6" width="3.140625" style="1" customWidth="1"/>
    <col min="7" max="7" width="50.7109375" style="146" customWidth="1"/>
    <col min="8" max="8" width="16.00390625" style="146" customWidth="1"/>
    <col min="9" max="10" width="8.8515625" style="1" customWidth="1"/>
    <col min="11" max="11" width="8.421875" style="1" customWidth="1"/>
    <col min="12" max="16384" width="8.8515625" style="1" customWidth="1"/>
  </cols>
  <sheetData>
    <row r="1" spans="1:6" ht="44.25" customHeight="1" thickBot="1">
      <c r="A1" s="278" t="s">
        <v>127</v>
      </c>
      <c r="B1" s="279"/>
      <c r="C1" s="269" t="s">
        <v>408</v>
      </c>
      <c r="D1" s="269"/>
      <c r="E1" s="269"/>
      <c r="F1" s="280"/>
    </row>
    <row r="2" spans="1:6" ht="47.25" customHeight="1" thickBot="1" thickTop="1">
      <c r="A2" s="228" t="s">
        <v>427</v>
      </c>
      <c r="B2" s="86"/>
      <c r="C2" s="275" t="s">
        <v>413</v>
      </c>
      <c r="D2" s="275"/>
      <c r="E2" s="275"/>
      <c r="F2" s="281"/>
    </row>
    <row r="3" spans="1:6" ht="16.5" customHeight="1" thickTop="1">
      <c r="A3" s="100" t="s">
        <v>32</v>
      </c>
      <c r="B3" s="40">
        <v>1100</v>
      </c>
      <c r="C3" s="270"/>
      <c r="D3" s="271"/>
      <c r="E3" s="271"/>
      <c r="F3" s="281"/>
    </row>
    <row r="4" spans="1:6" ht="16.5" hidden="1" thickTop="1">
      <c r="A4" s="87"/>
      <c r="B4" s="109" t="s">
        <v>378</v>
      </c>
      <c r="C4" s="23" t="s">
        <v>1</v>
      </c>
      <c r="D4" s="23" t="s">
        <v>2</v>
      </c>
      <c r="E4" s="102" t="s">
        <v>25</v>
      </c>
      <c r="F4" s="281"/>
    </row>
    <row r="5" spans="1:6" ht="15.75">
      <c r="A5" s="101" t="s">
        <v>21</v>
      </c>
      <c r="B5" s="36"/>
      <c r="C5" s="36"/>
      <c r="D5" s="36"/>
      <c r="E5" s="101"/>
      <c r="F5" s="281"/>
    </row>
    <row r="6" spans="1:9" ht="15.75">
      <c r="A6" s="9" t="s">
        <v>392</v>
      </c>
      <c r="B6" s="12" t="s">
        <v>326</v>
      </c>
      <c r="C6" s="196">
        <v>14500</v>
      </c>
      <c r="D6" s="20">
        <v>0.17</v>
      </c>
      <c r="E6" s="200">
        <f>C6*D6</f>
        <v>2465</v>
      </c>
      <c r="F6" s="281"/>
      <c r="G6" s="171"/>
      <c r="H6" s="171"/>
      <c r="I6" s="172"/>
    </row>
    <row r="7" spans="1:9" ht="15.75">
      <c r="A7" s="9" t="s">
        <v>89</v>
      </c>
      <c r="B7" s="12" t="s">
        <v>4</v>
      </c>
      <c r="C7" s="13">
        <v>1</v>
      </c>
      <c r="D7" s="20">
        <v>1293</v>
      </c>
      <c r="E7" s="200">
        <f>C7*D7</f>
        <v>1293</v>
      </c>
      <c r="F7" s="281"/>
      <c r="G7" s="171"/>
      <c r="H7" s="171"/>
      <c r="I7" s="172"/>
    </row>
    <row r="8" spans="1:9" ht="15.75">
      <c r="A8" s="9" t="s">
        <v>388</v>
      </c>
      <c r="B8" s="12" t="s">
        <v>4</v>
      </c>
      <c r="C8" s="13">
        <v>1</v>
      </c>
      <c r="D8" s="6"/>
      <c r="E8" s="200">
        <f>('Your Fumigants'!F18)</f>
        <v>558.1080000000001</v>
      </c>
      <c r="F8" s="281"/>
      <c r="G8" s="171"/>
      <c r="H8" s="171"/>
      <c r="I8" s="172"/>
    </row>
    <row r="9" spans="1:9" ht="15.75">
      <c r="A9" s="9" t="s">
        <v>11</v>
      </c>
      <c r="B9" s="12" t="s">
        <v>4</v>
      </c>
      <c r="C9" s="13">
        <v>1</v>
      </c>
      <c r="D9" s="20"/>
      <c r="E9" s="200">
        <f>C9*D9</f>
        <v>0</v>
      </c>
      <c r="F9" s="281"/>
      <c r="G9" s="171"/>
      <c r="H9" s="171"/>
      <c r="I9" s="172"/>
    </row>
    <row r="10" spans="1:6" ht="15.75">
      <c r="A10" s="9" t="s">
        <v>12</v>
      </c>
      <c r="B10" s="18"/>
      <c r="C10" s="19"/>
      <c r="D10" s="20"/>
      <c r="E10" s="200">
        <f>C10*D10</f>
        <v>0</v>
      </c>
      <c r="F10" s="281"/>
    </row>
    <row r="11" spans="1:7" ht="15.75">
      <c r="A11" s="9" t="s">
        <v>3</v>
      </c>
      <c r="B11" s="12" t="s">
        <v>4</v>
      </c>
      <c r="C11" s="13">
        <v>1</v>
      </c>
      <c r="D11" s="6"/>
      <c r="E11" s="200">
        <f>('Your Herbicides'!F21)</f>
        <v>101.86</v>
      </c>
      <c r="F11" s="281"/>
      <c r="G11" s="171"/>
    </row>
    <row r="12" spans="1:6" ht="15.75">
      <c r="A12" s="9" t="s">
        <v>5</v>
      </c>
      <c r="B12" s="12" t="s">
        <v>4</v>
      </c>
      <c r="C12" s="13">
        <v>1</v>
      </c>
      <c r="D12" s="6"/>
      <c r="E12" s="200">
        <f>('Your Insecticides &amp; Nematicides'!F31)</f>
        <v>715.115</v>
      </c>
      <c r="F12" s="281"/>
    </row>
    <row r="13" spans="1:6" ht="15.75">
      <c r="A13" s="9" t="s">
        <v>6</v>
      </c>
      <c r="B13" s="12" t="s">
        <v>4</v>
      </c>
      <c r="C13" s="13">
        <v>1</v>
      </c>
      <c r="D13" s="6"/>
      <c r="E13" s="200">
        <f>('Your Fungicides'!F24)</f>
        <v>844.0335</v>
      </c>
      <c r="F13" s="281"/>
    </row>
    <row r="14" spans="1:6" ht="15.75">
      <c r="A14" s="9" t="s">
        <v>387</v>
      </c>
      <c r="B14" s="12" t="s">
        <v>4</v>
      </c>
      <c r="C14" s="13">
        <v>1</v>
      </c>
      <c r="D14" s="6"/>
      <c r="E14" s="200">
        <f>'MC-35hp'!E29+'MC-55hp'!E29+'MC-70hp'!E29+'MC-75hp'!E29+'MC-80hp'!E29+'MC-100hp'!E29+'MC-110hp'!E29+'MC-125hp'!E29+'MC-130hp'!E29+'MC-140hp'!E29+'MC-180hp'!E29+'MC-210hp'!E29+'MC-SelfProp'!B29+'MC-MiscEquip'!E26</f>
        <v>1548.2621</v>
      </c>
      <c r="F14" s="281"/>
    </row>
    <row r="15" spans="1:6" ht="15.75">
      <c r="A15" s="9" t="s">
        <v>68</v>
      </c>
      <c r="B15" s="12" t="s">
        <v>4</v>
      </c>
      <c r="C15" s="13">
        <v>1</v>
      </c>
      <c r="D15" s="6"/>
      <c r="E15" s="200">
        <v>33.75</v>
      </c>
      <c r="F15" s="281"/>
    </row>
    <row r="16" spans="1:6" ht="15.75">
      <c r="A16" s="9" t="s">
        <v>393</v>
      </c>
      <c r="B16" s="18"/>
      <c r="C16" s="19">
        <v>1</v>
      </c>
      <c r="D16" s="20">
        <v>901</v>
      </c>
      <c r="E16" s="200">
        <f>C16*D16</f>
        <v>901</v>
      </c>
      <c r="F16" s="281"/>
    </row>
    <row r="17" spans="1:6" ht="15.75">
      <c r="A17" s="9" t="s">
        <v>98</v>
      </c>
      <c r="B17" s="12" t="s">
        <v>4</v>
      </c>
      <c r="C17" s="13">
        <v>1</v>
      </c>
      <c r="D17" s="30">
        <v>1.17</v>
      </c>
      <c r="E17" s="201"/>
      <c r="F17" s="281"/>
    </row>
    <row r="18" spans="1:6" ht="15.75">
      <c r="A18" s="9" t="s">
        <v>48</v>
      </c>
      <c r="B18" s="12" t="s">
        <v>4</v>
      </c>
      <c r="C18" s="13">
        <v>1</v>
      </c>
      <c r="D18" s="24"/>
      <c r="E18" s="202">
        <f>('MC-35hp'!G30+'MC-55hp'!G30+'MC-70hp'!G30+'MC-75hp'!G30+'MC-80hp'!G31+'MC-100hp'!G30+'MC-110hp'!G30+'MC-125hp'!G30+'MC-130hp'!G30+'MC-140hp'!G30+'MC-180hp'!G30+'MC-210hp'!G30+'MC-SelfProp'!D31)*D17</f>
        <v>466.83000000000004</v>
      </c>
      <c r="F18" s="281"/>
    </row>
    <row r="19" spans="1:9" ht="15.75">
      <c r="A19" s="9" t="s">
        <v>87</v>
      </c>
      <c r="B19" s="12" t="s">
        <v>4</v>
      </c>
      <c r="C19" s="13">
        <v>1</v>
      </c>
      <c r="D19" s="20">
        <v>50</v>
      </c>
      <c r="E19" s="200">
        <f aca="true" t="shared" si="0" ref="E19:E31">C19*D19</f>
        <v>50</v>
      </c>
      <c r="F19" s="281"/>
      <c r="I19" s="163"/>
    </row>
    <row r="20" spans="1:6" ht="15.75">
      <c r="A20" s="9" t="s">
        <v>379</v>
      </c>
      <c r="B20" s="12" t="s">
        <v>4</v>
      </c>
      <c r="C20" s="13">
        <v>1</v>
      </c>
      <c r="D20" s="20">
        <v>255</v>
      </c>
      <c r="E20" s="200">
        <f t="shared" si="0"/>
        <v>255</v>
      </c>
      <c r="F20" s="281"/>
    </row>
    <row r="21" spans="1:6" ht="15.75">
      <c r="A21" s="9" t="s">
        <v>88</v>
      </c>
      <c r="B21" s="12" t="s">
        <v>4</v>
      </c>
      <c r="C21" s="13">
        <v>1</v>
      </c>
      <c r="D21" s="20">
        <v>372</v>
      </c>
      <c r="E21" s="200">
        <f t="shared" si="0"/>
        <v>372</v>
      </c>
      <c r="F21" s="281"/>
    </row>
    <row r="22" spans="1:6" ht="15.75">
      <c r="A22" s="9" t="s">
        <v>129</v>
      </c>
      <c r="B22" s="12" t="s">
        <v>4</v>
      </c>
      <c r="C22" s="13">
        <v>1</v>
      </c>
      <c r="D22" s="20">
        <v>72</v>
      </c>
      <c r="E22" s="200">
        <f t="shared" si="0"/>
        <v>72</v>
      </c>
      <c r="F22" s="281"/>
    </row>
    <row r="23" spans="1:6" ht="15.75">
      <c r="A23" s="9" t="s">
        <v>130</v>
      </c>
      <c r="B23" s="12" t="s">
        <v>4</v>
      </c>
      <c r="C23" s="13">
        <v>1</v>
      </c>
      <c r="D23" s="20">
        <v>24.84</v>
      </c>
      <c r="E23" s="200">
        <f t="shared" si="0"/>
        <v>24.84</v>
      </c>
      <c r="F23" s="281"/>
    </row>
    <row r="24" spans="1:6" ht="15.75">
      <c r="A24" s="9" t="s">
        <v>390</v>
      </c>
      <c r="B24" s="12" t="s">
        <v>4</v>
      </c>
      <c r="C24" s="13">
        <v>1</v>
      </c>
      <c r="D24" s="20">
        <v>245.5</v>
      </c>
      <c r="E24" s="200">
        <f t="shared" si="0"/>
        <v>245.5</v>
      </c>
      <c r="F24" s="281"/>
    </row>
    <row r="25" spans="1:6" ht="15.75">
      <c r="A25" s="9" t="s">
        <v>131</v>
      </c>
      <c r="B25" s="12" t="s">
        <v>4</v>
      </c>
      <c r="C25" s="13">
        <v>1</v>
      </c>
      <c r="D25" s="20">
        <v>69</v>
      </c>
      <c r="E25" s="200">
        <f t="shared" si="0"/>
        <v>69</v>
      </c>
      <c r="F25" s="281"/>
    </row>
    <row r="26" spans="1:6" ht="15.75">
      <c r="A26" s="9" t="s">
        <v>155</v>
      </c>
      <c r="B26" s="12" t="s">
        <v>4</v>
      </c>
      <c r="C26" s="13">
        <v>1</v>
      </c>
      <c r="D26" s="20"/>
      <c r="E26" s="200">
        <f t="shared" si="0"/>
        <v>0</v>
      </c>
      <c r="F26" s="281"/>
    </row>
    <row r="27" spans="1:6" ht="15.75">
      <c r="A27" s="9" t="s">
        <v>380</v>
      </c>
      <c r="B27" s="12" t="s">
        <v>4</v>
      </c>
      <c r="C27" s="13">
        <v>1</v>
      </c>
      <c r="D27" s="20">
        <v>40</v>
      </c>
      <c r="E27" s="200">
        <f t="shared" si="0"/>
        <v>40</v>
      </c>
      <c r="F27" s="281"/>
    </row>
    <row r="28" spans="1:6" ht="15.75">
      <c r="A28" s="69"/>
      <c r="B28" s="12" t="s">
        <v>4</v>
      </c>
      <c r="C28" s="13">
        <v>1</v>
      </c>
      <c r="D28" s="20"/>
      <c r="E28" s="200">
        <f t="shared" si="0"/>
        <v>0</v>
      </c>
      <c r="F28" s="281"/>
    </row>
    <row r="29" spans="1:6" ht="15.75">
      <c r="A29" s="69"/>
      <c r="B29" s="12" t="s">
        <v>4</v>
      </c>
      <c r="C29" s="13">
        <v>1</v>
      </c>
      <c r="D29" s="20"/>
      <c r="E29" s="200">
        <f t="shared" si="0"/>
        <v>0</v>
      </c>
      <c r="F29" s="281"/>
    </row>
    <row r="30" spans="1:6" ht="15.75">
      <c r="A30" s="69"/>
      <c r="B30" s="12" t="s">
        <v>4</v>
      </c>
      <c r="C30" s="13">
        <v>1</v>
      </c>
      <c r="D30" s="20"/>
      <c r="E30" s="200">
        <f t="shared" si="0"/>
        <v>0</v>
      </c>
      <c r="F30" s="281"/>
    </row>
    <row r="31" spans="1:6" ht="15.75">
      <c r="A31" s="69"/>
      <c r="B31" s="12" t="s">
        <v>4</v>
      </c>
      <c r="C31" s="13">
        <v>1</v>
      </c>
      <c r="D31" s="20"/>
      <c r="E31" s="200">
        <f t="shared" si="0"/>
        <v>0</v>
      </c>
      <c r="F31" s="281"/>
    </row>
    <row r="32" spans="1:6" ht="15.75">
      <c r="A32" s="9" t="s">
        <v>60</v>
      </c>
      <c r="B32" s="12" t="s">
        <v>4</v>
      </c>
      <c r="C32" s="13">
        <v>1</v>
      </c>
      <c r="D32" s="43">
        <v>0.08</v>
      </c>
      <c r="E32" s="200"/>
      <c r="F32" s="281"/>
    </row>
    <row r="33" spans="1:6" ht="15.75">
      <c r="A33" s="9" t="s">
        <v>59</v>
      </c>
      <c r="B33" s="12" t="s">
        <v>4</v>
      </c>
      <c r="C33" s="13">
        <v>1</v>
      </c>
      <c r="D33" s="67">
        <v>7</v>
      </c>
      <c r="E33" s="200"/>
      <c r="F33" s="281"/>
    </row>
    <row r="34" spans="1:6" ht="15.75">
      <c r="A34" s="9" t="s">
        <v>57</v>
      </c>
      <c r="B34" s="12" t="s">
        <v>4</v>
      </c>
      <c r="C34" s="13">
        <v>1</v>
      </c>
      <c r="D34" s="6"/>
      <c r="E34" s="200">
        <f>((E36*D32)/12)*D33</f>
        <v>469.247268</v>
      </c>
      <c r="F34" s="281"/>
    </row>
    <row r="35" spans="1:6" ht="12" customHeight="1">
      <c r="A35" s="277"/>
      <c r="B35" s="277"/>
      <c r="C35" s="277"/>
      <c r="D35" s="277"/>
      <c r="E35" s="277"/>
      <c r="F35" s="281"/>
    </row>
    <row r="36" spans="1:6" ht="15.75">
      <c r="A36" s="232" t="s">
        <v>56</v>
      </c>
      <c r="B36" s="233"/>
      <c r="C36" s="233"/>
      <c r="D36" s="234"/>
      <c r="E36" s="82">
        <f>SUM(E6:E31)</f>
        <v>10055.2986</v>
      </c>
      <c r="F36" s="281"/>
    </row>
    <row r="37" spans="1:6" ht="11.25" customHeight="1">
      <c r="A37" s="276"/>
      <c r="B37" s="276"/>
      <c r="C37" s="276"/>
      <c r="D37" s="276"/>
      <c r="E37" s="276"/>
      <c r="F37" s="281"/>
    </row>
    <row r="38" spans="1:6" ht="15.75">
      <c r="A38" s="232" t="s">
        <v>58</v>
      </c>
      <c r="B38" s="233"/>
      <c r="C38" s="233"/>
      <c r="D38" s="234"/>
      <c r="E38" s="82">
        <f>E34+E36</f>
        <v>10524.545868</v>
      </c>
      <c r="F38" s="281"/>
    </row>
    <row r="39" spans="1:6" ht="10.5" customHeight="1">
      <c r="A39" s="276"/>
      <c r="B39" s="276"/>
      <c r="C39" s="276"/>
      <c r="D39" s="276"/>
      <c r="E39" s="276"/>
      <c r="F39" s="281"/>
    </row>
    <row r="40" spans="1:6" ht="15.75">
      <c r="A40" s="232" t="s">
        <v>22</v>
      </c>
      <c r="B40" s="233"/>
      <c r="C40" s="233"/>
      <c r="D40" s="233"/>
      <c r="E40" s="233"/>
      <c r="F40" s="281"/>
    </row>
    <row r="41" spans="1:6" ht="15.75">
      <c r="A41" s="9" t="s">
        <v>23</v>
      </c>
      <c r="B41" s="12" t="s">
        <v>4</v>
      </c>
      <c r="C41" s="13">
        <v>1</v>
      </c>
      <c r="D41" s="6"/>
      <c r="E41" s="77">
        <f>'MC-35hp'!F29+'MC-55hp'!F29+'MC-70hp'!F29+'MC-75hp'!F29+'MC-80hp'!F29+'MC-100hp'!F29+'MC-110hp'!F29+'MC-125hp'!F29+'MC-130hp'!F29+'MC-140hp'!F29+'MC-180hp'!F29+'MC-210hp'!F29+'MC-SelfProp'!C29+'MC-MiscEquip'!F26</f>
        <v>311.21046</v>
      </c>
      <c r="F41" s="281"/>
    </row>
    <row r="42" spans="1:6" ht="15.75">
      <c r="A42" s="9" t="s">
        <v>10</v>
      </c>
      <c r="B42" s="12" t="s">
        <v>4</v>
      </c>
      <c r="C42" s="13">
        <v>1</v>
      </c>
      <c r="D42" s="20">
        <v>694</v>
      </c>
      <c r="E42" s="64">
        <f>C42*D42</f>
        <v>694</v>
      </c>
      <c r="F42" s="281"/>
    </row>
    <row r="43" spans="1:6" ht="15.75">
      <c r="A43" s="21"/>
      <c r="B43" s="18"/>
      <c r="C43" s="19"/>
      <c r="D43" s="20"/>
      <c r="E43" s="64">
        <f>C43*D43</f>
        <v>0</v>
      </c>
      <c r="F43" s="281"/>
    </row>
    <row r="44" spans="1:6" ht="15.75">
      <c r="A44" s="21"/>
      <c r="B44" s="18"/>
      <c r="C44" s="19"/>
      <c r="D44" s="20"/>
      <c r="E44" s="64">
        <f>C44*D44</f>
        <v>0</v>
      </c>
      <c r="F44" s="281"/>
    </row>
    <row r="45" spans="1:6" ht="15.75">
      <c r="A45" s="21"/>
      <c r="B45" s="18"/>
      <c r="C45" s="19"/>
      <c r="D45" s="20"/>
      <c r="E45" s="64">
        <f>C45*D45</f>
        <v>0</v>
      </c>
      <c r="F45" s="281"/>
    </row>
    <row r="46" spans="1:6" ht="15.75">
      <c r="A46" s="21"/>
      <c r="B46" s="18"/>
      <c r="C46" s="19"/>
      <c r="D46" s="20"/>
      <c r="E46" s="64">
        <f>C46*D46</f>
        <v>0</v>
      </c>
      <c r="F46" s="281"/>
    </row>
    <row r="47" spans="1:6" ht="15.75">
      <c r="A47" s="9" t="s">
        <v>42</v>
      </c>
      <c r="B47" s="12" t="s">
        <v>4</v>
      </c>
      <c r="C47" s="13">
        <v>1</v>
      </c>
      <c r="D47" s="43">
        <v>0.25</v>
      </c>
      <c r="E47" s="64">
        <f>D47*E36</f>
        <v>2513.82465</v>
      </c>
      <c r="F47" s="281"/>
    </row>
    <row r="48" spans="1:6" ht="12.75" customHeight="1">
      <c r="A48" s="277"/>
      <c r="B48" s="277"/>
      <c r="C48" s="277"/>
      <c r="D48" s="277"/>
      <c r="E48" s="277"/>
      <c r="F48" s="281"/>
    </row>
    <row r="49" spans="1:6" ht="15.75">
      <c r="A49" s="272" t="s">
        <v>61</v>
      </c>
      <c r="B49" s="273"/>
      <c r="C49" s="273"/>
      <c r="D49" s="274"/>
      <c r="E49" s="82">
        <f>SUM(E41:E46)</f>
        <v>1005.21046</v>
      </c>
      <c r="F49" s="281"/>
    </row>
    <row r="50" spans="1:6" ht="12.75" customHeight="1">
      <c r="A50" s="276"/>
      <c r="B50" s="276"/>
      <c r="C50" s="276"/>
      <c r="D50" s="276"/>
      <c r="E50" s="276"/>
      <c r="F50" s="281"/>
    </row>
    <row r="51" spans="1:6" ht="15.75">
      <c r="A51" s="272" t="s">
        <v>62</v>
      </c>
      <c r="B51" s="273"/>
      <c r="C51" s="273"/>
      <c r="D51" s="274"/>
      <c r="E51" s="82">
        <f>E49+E47</f>
        <v>3519.03511</v>
      </c>
      <c r="F51" s="281"/>
    </row>
    <row r="52" spans="1:6" ht="12" customHeight="1">
      <c r="A52" s="276"/>
      <c r="B52" s="276"/>
      <c r="C52" s="276"/>
      <c r="D52" s="276"/>
      <c r="E52" s="276"/>
      <c r="F52" s="281"/>
    </row>
    <row r="53" spans="1:6" ht="15.75">
      <c r="A53" s="272" t="s">
        <v>63</v>
      </c>
      <c r="B53" s="273"/>
      <c r="C53" s="273"/>
      <c r="D53" s="274"/>
      <c r="E53" s="82">
        <f>E51+E38</f>
        <v>14043.580977999998</v>
      </c>
      <c r="F53" s="281"/>
    </row>
    <row r="54" spans="1:6" ht="12" customHeight="1">
      <c r="A54" s="276"/>
      <c r="B54" s="276"/>
      <c r="C54" s="276"/>
      <c r="D54" s="276"/>
      <c r="E54" s="276"/>
      <c r="F54" s="281"/>
    </row>
    <row r="55" spans="1:6" ht="15.75">
      <c r="A55" s="36" t="s">
        <v>9</v>
      </c>
      <c r="B55" s="16"/>
      <c r="C55" s="17"/>
      <c r="D55" s="14"/>
      <c r="E55" s="83"/>
      <c r="F55" s="281"/>
    </row>
    <row r="56" spans="1:6" ht="15.75">
      <c r="A56" s="9" t="s">
        <v>132</v>
      </c>
      <c r="B56" s="12" t="s">
        <v>166</v>
      </c>
      <c r="C56" s="39">
        <f aca="true" t="shared" si="1" ref="C56:C61">$B$3</f>
        <v>1100</v>
      </c>
      <c r="D56" s="20">
        <v>2.4</v>
      </c>
      <c r="E56" s="64">
        <f aca="true" t="shared" si="2" ref="E56:E61">D56*$B$3</f>
        <v>2640</v>
      </c>
      <c r="F56" s="281"/>
    </row>
    <row r="57" spans="1:6" ht="15.75">
      <c r="A57" s="9" t="s">
        <v>133</v>
      </c>
      <c r="B57" s="12" t="s">
        <v>166</v>
      </c>
      <c r="C57" s="39">
        <f t="shared" si="1"/>
        <v>1100</v>
      </c>
      <c r="D57" s="20">
        <v>0.61</v>
      </c>
      <c r="E57" s="64">
        <f t="shared" si="2"/>
        <v>671</v>
      </c>
      <c r="F57" s="281"/>
    </row>
    <row r="58" spans="1:6" ht="15.75">
      <c r="A58" s="9" t="s">
        <v>134</v>
      </c>
      <c r="B58" s="12" t="s">
        <v>166</v>
      </c>
      <c r="C58" s="39">
        <f t="shared" si="1"/>
        <v>1100</v>
      </c>
      <c r="D58" s="20">
        <v>0.95</v>
      </c>
      <c r="E58" s="64">
        <f t="shared" si="2"/>
        <v>1045</v>
      </c>
      <c r="F58" s="281"/>
    </row>
    <row r="59" spans="1:6" ht="15.75">
      <c r="A59" s="35" t="s">
        <v>51</v>
      </c>
      <c r="B59" s="12" t="s">
        <v>166</v>
      </c>
      <c r="C59" s="39">
        <f t="shared" si="1"/>
        <v>1100</v>
      </c>
      <c r="D59" s="20"/>
      <c r="E59" s="64">
        <f t="shared" si="2"/>
        <v>0</v>
      </c>
      <c r="F59" s="281"/>
    </row>
    <row r="60" spans="1:6" ht="15.75">
      <c r="A60" s="21"/>
      <c r="B60" s="12" t="s">
        <v>166</v>
      </c>
      <c r="C60" s="39">
        <f t="shared" si="1"/>
        <v>1100</v>
      </c>
      <c r="D60" s="20"/>
      <c r="E60" s="64">
        <f t="shared" si="2"/>
        <v>0</v>
      </c>
      <c r="F60" s="281"/>
    </row>
    <row r="61" spans="1:6" ht="15.75">
      <c r="A61" s="21"/>
      <c r="B61" s="12" t="s">
        <v>166</v>
      </c>
      <c r="C61" s="39">
        <f t="shared" si="1"/>
        <v>1100</v>
      </c>
      <c r="D61" s="20"/>
      <c r="E61" s="64">
        <f t="shared" si="2"/>
        <v>0</v>
      </c>
      <c r="F61" s="281"/>
    </row>
    <row r="62" spans="1:6" ht="15.75">
      <c r="A62" s="232" t="s">
        <v>97</v>
      </c>
      <c r="B62" s="233"/>
      <c r="C62" s="234"/>
      <c r="D62" s="15">
        <f>SUM(D56:D61)</f>
        <v>3.96</v>
      </c>
      <c r="E62" s="82">
        <f>SUM(E56:E61)</f>
        <v>4356</v>
      </c>
      <c r="F62" s="281"/>
    </row>
    <row r="63" spans="1:6" ht="12.75" customHeight="1">
      <c r="A63" s="268"/>
      <c r="B63" s="268"/>
      <c r="C63" s="268"/>
      <c r="D63" s="268"/>
      <c r="E63" s="268"/>
      <c r="F63" s="281"/>
    </row>
    <row r="64" spans="1:7" ht="15.75">
      <c r="A64" s="283" t="s">
        <v>38</v>
      </c>
      <c r="B64" s="284"/>
      <c r="C64" s="285"/>
      <c r="D64" s="95">
        <f>E64/B3</f>
        <v>16.726891798181818</v>
      </c>
      <c r="E64" s="103">
        <f>E53+E62</f>
        <v>18399.580977999998</v>
      </c>
      <c r="F64" s="281"/>
      <c r="G64" s="164"/>
    </row>
    <row r="65" spans="1:6" ht="12.75" customHeight="1">
      <c r="A65" s="286"/>
      <c r="B65" s="286"/>
      <c r="C65" s="286"/>
      <c r="D65" s="286"/>
      <c r="E65" s="286"/>
      <c r="F65" s="282"/>
    </row>
    <row r="66" spans="2:4" ht="15.75">
      <c r="B66" s="3"/>
      <c r="C66" s="3"/>
      <c r="D66" s="4"/>
    </row>
    <row r="67" spans="2:4" ht="15.75">
      <c r="B67" s="3"/>
      <c r="C67" s="3"/>
      <c r="D67" s="4"/>
    </row>
    <row r="68" spans="2:4" ht="15.75">
      <c r="B68" s="3"/>
      <c r="C68" s="3"/>
      <c r="D68" s="4"/>
    </row>
    <row r="69" spans="2:4" ht="15.75">
      <c r="B69" s="3"/>
      <c r="C69" s="3"/>
      <c r="D69" s="4"/>
    </row>
    <row r="70" ht="15.75">
      <c r="E70" s="1"/>
    </row>
  </sheetData>
  <sheetProtection sheet="1" selectLockedCells="1"/>
  <mergeCells count="22">
    <mergeCell ref="F1:F65"/>
    <mergeCell ref="A64:C64"/>
    <mergeCell ref="A62:C62"/>
    <mergeCell ref="A65:E65"/>
    <mergeCell ref="A36:D36"/>
    <mergeCell ref="A38:D38"/>
    <mergeCell ref="A52:E52"/>
    <mergeCell ref="A54:E54"/>
    <mergeCell ref="A37:E37"/>
    <mergeCell ref="A39:E39"/>
    <mergeCell ref="A53:D53"/>
    <mergeCell ref="A1:B1"/>
    <mergeCell ref="A63:E63"/>
    <mergeCell ref="C1:E1"/>
    <mergeCell ref="C3:E3"/>
    <mergeCell ref="A40:E40"/>
    <mergeCell ref="A49:D49"/>
    <mergeCell ref="C2:E2"/>
    <mergeCell ref="A50:E50"/>
    <mergeCell ref="A35:E35"/>
    <mergeCell ref="A48:E48"/>
    <mergeCell ref="A51:D51"/>
  </mergeCells>
  <printOptions gridLines="1" verticalCentered="1"/>
  <pageMargins left="0" right="0" top="0" bottom="0" header="0" footer="0"/>
  <pageSetup blackAndWhite="1" horizontalDpi="300" verticalDpi="300" orientation="landscape" r:id="rId1"/>
  <ignoredErrors>
    <ignoredError sqref="E8" formula="1"/>
    <ignoredError sqref="E51" evalError="1"/>
  </ignoredErrors>
</worksheet>
</file>

<file path=xl/worksheets/sheet4.xml><?xml version="1.0" encoding="utf-8"?>
<worksheet xmlns="http://schemas.openxmlformats.org/spreadsheetml/2006/main" xmlns:r="http://schemas.openxmlformats.org/officeDocument/2006/relationships">
  <sheetPr>
    <tabColor rgb="FF071CB9"/>
  </sheetPr>
  <dimension ref="A1:I37"/>
  <sheetViews>
    <sheetView zoomScalePageLayoutView="0" workbookViewId="0" topLeftCell="A1">
      <pane ySplit="5" topLeftCell="A6" activePane="bottomLeft" state="frozen"/>
      <selection pane="topLeft" activeCell="I39" sqref="I39"/>
      <selection pane="bottomLeft" activeCell="D30" sqref="D30"/>
    </sheetView>
  </sheetViews>
  <sheetFormatPr defaultColWidth="9.140625" defaultRowHeight="12.75"/>
  <cols>
    <col min="1" max="1" width="28.421875" style="0" customWidth="1"/>
    <col min="2" max="2" width="11.140625" style="0" customWidth="1"/>
    <col min="3" max="4" width="9.8515625" style="0" customWidth="1"/>
    <col min="5" max="5" width="15.7109375" style="0" customWidth="1"/>
    <col min="6" max="6" width="13.00390625" style="0" customWidth="1"/>
    <col min="7" max="7" width="12.8515625" style="0" customWidth="1"/>
    <col min="8" max="8" width="2.00390625" style="0" customWidth="1"/>
    <col min="9" max="9" width="23.57421875" style="0" customWidth="1"/>
    <col min="10" max="10" width="1.421875" style="0" customWidth="1"/>
    <col min="11" max="11" width="1.8515625" style="0" customWidth="1"/>
    <col min="12" max="12" width="1.57421875" style="0" customWidth="1"/>
  </cols>
  <sheetData>
    <row r="1" spans="1:9" ht="33" customHeight="1">
      <c r="A1" s="310" t="s">
        <v>90</v>
      </c>
      <c r="B1" s="311"/>
      <c r="C1" s="311"/>
      <c r="D1" s="311"/>
      <c r="E1" s="311"/>
      <c r="F1" s="311"/>
      <c r="G1" s="312"/>
      <c r="H1" s="287"/>
      <c r="I1" s="90" t="s">
        <v>167</v>
      </c>
    </row>
    <row r="2" spans="1:9" ht="18.75" customHeight="1">
      <c r="A2" s="305" t="s">
        <v>50</v>
      </c>
      <c r="B2" s="308" t="s">
        <v>73</v>
      </c>
      <c r="C2" s="308" t="s">
        <v>74</v>
      </c>
      <c r="D2" s="314" t="s">
        <v>13</v>
      </c>
      <c r="E2" s="308" t="s">
        <v>102</v>
      </c>
      <c r="F2" s="308" t="s">
        <v>103</v>
      </c>
      <c r="G2" s="303" t="s">
        <v>101</v>
      </c>
      <c r="H2" s="288"/>
      <c r="I2" s="296" t="s">
        <v>168</v>
      </c>
    </row>
    <row r="3" spans="1:9" ht="20.25" customHeight="1">
      <c r="A3" s="306"/>
      <c r="B3" s="309"/>
      <c r="C3" s="313"/>
      <c r="D3" s="315"/>
      <c r="E3" s="309"/>
      <c r="F3" s="309"/>
      <c r="G3" s="304"/>
      <c r="H3" s="288"/>
      <c r="I3" s="296"/>
    </row>
    <row r="4" spans="1:8" ht="18" customHeight="1">
      <c r="A4" s="110" t="s">
        <v>94</v>
      </c>
      <c r="B4" s="47">
        <f>MACH1920!C136</f>
        <v>12.67</v>
      </c>
      <c r="C4" s="47">
        <f>MACH1920!D136</f>
        <v>2.3232</v>
      </c>
      <c r="D4" s="115">
        <f>SUM(D6:D25)</f>
        <v>0</v>
      </c>
      <c r="E4" s="49">
        <f aca="true" t="shared" si="0" ref="E4:E20">(B4*D4)</f>
        <v>0</v>
      </c>
      <c r="F4" s="49">
        <f aca="true" t="shared" si="1" ref="F4:F20">(C4*D4)</f>
        <v>0</v>
      </c>
      <c r="G4" s="116">
        <f>E4+F4</f>
        <v>0</v>
      </c>
      <c r="H4" s="288"/>
    </row>
    <row r="5" spans="1:8" ht="10.5" customHeight="1">
      <c r="A5" s="307"/>
      <c r="B5" s="307"/>
      <c r="C5" s="307"/>
      <c r="D5" s="307"/>
      <c r="E5" s="307"/>
      <c r="F5" s="307"/>
      <c r="G5" s="307"/>
      <c r="H5" s="288"/>
    </row>
    <row r="6" spans="1:8" ht="12.75">
      <c r="A6" s="21"/>
      <c r="B6" s="29"/>
      <c r="C6" s="29"/>
      <c r="D6" s="26"/>
      <c r="E6" s="7">
        <f aca="true" t="shared" si="2" ref="E6:E12">(B6*D6)</f>
        <v>0</v>
      </c>
      <c r="F6" s="7">
        <f aca="true" t="shared" si="3" ref="F6:F12">(C6*D6)</f>
        <v>0</v>
      </c>
      <c r="G6" s="73">
        <f aca="true" t="shared" si="4" ref="G6:G12">(E6+F6)</f>
        <v>0</v>
      </c>
      <c r="H6" s="288"/>
    </row>
    <row r="7" spans="1:8" ht="12.75">
      <c r="A7" s="21"/>
      <c r="B7" s="29"/>
      <c r="C7" s="29"/>
      <c r="D7" s="26"/>
      <c r="E7" s="7">
        <f t="shared" si="2"/>
        <v>0</v>
      </c>
      <c r="F7" s="7">
        <f t="shared" si="3"/>
        <v>0</v>
      </c>
      <c r="G7" s="73">
        <f t="shared" si="4"/>
        <v>0</v>
      </c>
      <c r="H7" s="288"/>
    </row>
    <row r="8" spans="1:8" ht="12.75">
      <c r="A8" s="21"/>
      <c r="B8" s="29"/>
      <c r="C8" s="29"/>
      <c r="D8" s="25"/>
      <c r="E8" s="7">
        <f t="shared" si="2"/>
        <v>0</v>
      </c>
      <c r="F8" s="7">
        <f t="shared" si="3"/>
        <v>0</v>
      </c>
      <c r="G8" s="73">
        <f t="shared" si="4"/>
        <v>0</v>
      </c>
      <c r="H8" s="288"/>
    </row>
    <row r="9" spans="1:8" ht="12.75">
      <c r="A9" s="21"/>
      <c r="B9" s="29"/>
      <c r="C9" s="29"/>
      <c r="D9" s="26"/>
      <c r="E9" s="7">
        <f t="shared" si="2"/>
        <v>0</v>
      </c>
      <c r="F9" s="7">
        <f t="shared" si="3"/>
        <v>0</v>
      </c>
      <c r="G9" s="73">
        <f t="shared" si="4"/>
        <v>0</v>
      </c>
      <c r="H9" s="288"/>
    </row>
    <row r="10" spans="1:8" ht="12.75">
      <c r="A10" s="21"/>
      <c r="B10" s="29"/>
      <c r="C10" s="29"/>
      <c r="D10" s="26"/>
      <c r="E10" s="7">
        <f t="shared" si="2"/>
        <v>0</v>
      </c>
      <c r="F10" s="7">
        <f t="shared" si="3"/>
        <v>0</v>
      </c>
      <c r="G10" s="73">
        <f t="shared" si="4"/>
        <v>0</v>
      </c>
      <c r="H10" s="288"/>
    </row>
    <row r="11" spans="1:8" ht="12.75">
      <c r="A11" s="21"/>
      <c r="B11" s="29"/>
      <c r="C11" s="29"/>
      <c r="D11" s="25"/>
      <c r="E11" s="7">
        <f t="shared" si="2"/>
        <v>0</v>
      </c>
      <c r="F11" s="7">
        <f t="shared" si="3"/>
        <v>0</v>
      </c>
      <c r="G11" s="73">
        <f t="shared" si="4"/>
        <v>0</v>
      </c>
      <c r="H11" s="288"/>
    </row>
    <row r="12" spans="1:8" ht="12.75">
      <c r="A12" s="21"/>
      <c r="B12" s="29"/>
      <c r="C12" s="29"/>
      <c r="D12" s="26"/>
      <c r="E12" s="7">
        <f t="shared" si="2"/>
        <v>0</v>
      </c>
      <c r="F12" s="7">
        <f t="shared" si="3"/>
        <v>0</v>
      </c>
      <c r="G12" s="73">
        <f t="shared" si="4"/>
        <v>0</v>
      </c>
      <c r="H12" s="288"/>
    </row>
    <row r="13" spans="1:8" ht="12.75">
      <c r="A13" s="21"/>
      <c r="B13" s="29"/>
      <c r="C13" s="29"/>
      <c r="D13" s="25"/>
      <c r="E13" s="7">
        <f t="shared" si="0"/>
        <v>0</v>
      </c>
      <c r="F13" s="7">
        <f t="shared" si="1"/>
        <v>0</v>
      </c>
      <c r="G13" s="73">
        <f aca="true" t="shared" si="5" ref="G13:G20">(E13+F13)</f>
        <v>0</v>
      </c>
      <c r="H13" s="288"/>
    </row>
    <row r="14" spans="1:8" ht="12.75">
      <c r="A14" s="21"/>
      <c r="B14" s="29"/>
      <c r="C14" s="29"/>
      <c r="D14" s="25"/>
      <c r="E14" s="7">
        <f t="shared" si="0"/>
        <v>0</v>
      </c>
      <c r="F14" s="7">
        <f t="shared" si="1"/>
        <v>0</v>
      </c>
      <c r="G14" s="73">
        <f t="shared" si="5"/>
        <v>0</v>
      </c>
      <c r="H14" s="288"/>
    </row>
    <row r="15" spans="1:8" ht="12.75">
      <c r="A15" s="21"/>
      <c r="B15" s="29"/>
      <c r="C15" s="29"/>
      <c r="D15" s="25"/>
      <c r="E15" s="7">
        <f t="shared" si="0"/>
        <v>0</v>
      </c>
      <c r="F15" s="7">
        <f t="shared" si="1"/>
        <v>0</v>
      </c>
      <c r="G15" s="73">
        <f t="shared" si="5"/>
        <v>0</v>
      </c>
      <c r="H15" s="288"/>
    </row>
    <row r="16" spans="1:8" ht="12.75">
      <c r="A16" s="21"/>
      <c r="B16" s="29"/>
      <c r="C16" s="29"/>
      <c r="D16" s="25"/>
      <c r="E16" s="7">
        <f t="shared" si="0"/>
        <v>0</v>
      </c>
      <c r="F16" s="7">
        <f t="shared" si="1"/>
        <v>0</v>
      </c>
      <c r="G16" s="73">
        <f t="shared" si="5"/>
        <v>0</v>
      </c>
      <c r="H16" s="288"/>
    </row>
    <row r="17" spans="1:8" ht="12.75">
      <c r="A17" s="21"/>
      <c r="B17" s="29"/>
      <c r="C17" s="29"/>
      <c r="D17" s="25"/>
      <c r="E17" s="7">
        <f t="shared" si="0"/>
        <v>0</v>
      </c>
      <c r="F17" s="7">
        <f t="shared" si="1"/>
        <v>0</v>
      </c>
      <c r="G17" s="73">
        <f t="shared" si="5"/>
        <v>0</v>
      </c>
      <c r="H17" s="288"/>
    </row>
    <row r="18" spans="1:8" ht="12.75">
      <c r="A18" s="21"/>
      <c r="B18" s="29"/>
      <c r="C18" s="29"/>
      <c r="D18" s="25"/>
      <c r="E18" s="7">
        <f t="shared" si="0"/>
        <v>0</v>
      </c>
      <c r="F18" s="7">
        <f t="shared" si="1"/>
        <v>0</v>
      </c>
      <c r="G18" s="73">
        <f t="shared" si="5"/>
        <v>0</v>
      </c>
      <c r="H18" s="288"/>
    </row>
    <row r="19" spans="1:8" ht="12.75">
      <c r="A19" s="21"/>
      <c r="B19" s="29"/>
      <c r="C19" s="29"/>
      <c r="D19" s="25"/>
      <c r="E19" s="7">
        <f>(B19*D19)</f>
        <v>0</v>
      </c>
      <c r="F19" s="7">
        <f>(C19*D19)</f>
        <v>0</v>
      </c>
      <c r="G19" s="73">
        <f>(E19+F19)</f>
        <v>0</v>
      </c>
      <c r="H19" s="288"/>
    </row>
    <row r="20" spans="1:8" ht="12.75">
      <c r="A20" s="21"/>
      <c r="B20" s="29"/>
      <c r="C20" s="29"/>
      <c r="D20" s="25"/>
      <c r="E20" s="7">
        <f t="shared" si="0"/>
        <v>0</v>
      </c>
      <c r="F20" s="7">
        <f t="shared" si="1"/>
        <v>0</v>
      </c>
      <c r="G20" s="73">
        <f t="shared" si="5"/>
        <v>0</v>
      </c>
      <c r="H20" s="288"/>
    </row>
    <row r="21" spans="1:8" ht="12.75">
      <c r="A21" s="78"/>
      <c r="B21" s="29"/>
      <c r="C21" s="29"/>
      <c r="D21" s="79"/>
      <c r="E21" s="7">
        <f>(B21*D21)</f>
        <v>0</v>
      </c>
      <c r="F21" s="7">
        <f>(C21*D21)</f>
        <v>0</v>
      </c>
      <c r="G21" s="73">
        <f>(E21+F21)</f>
        <v>0</v>
      </c>
      <c r="H21" s="288"/>
    </row>
    <row r="22" spans="1:8" ht="12.75">
      <c r="A22" s="78"/>
      <c r="B22" s="29"/>
      <c r="C22" s="29"/>
      <c r="D22" s="79"/>
      <c r="E22" s="7">
        <f>(B22*D22)</f>
        <v>0</v>
      </c>
      <c r="F22" s="7">
        <f>(C22*D22)</f>
        <v>0</v>
      </c>
      <c r="G22" s="73">
        <f>(E22+F22)</f>
        <v>0</v>
      </c>
      <c r="H22" s="288"/>
    </row>
    <row r="23" spans="1:8" ht="12.75">
      <c r="A23" s="78"/>
      <c r="B23" s="29"/>
      <c r="C23" s="29"/>
      <c r="D23" s="79"/>
      <c r="E23" s="7">
        <f>(B23*D23)</f>
        <v>0</v>
      </c>
      <c r="F23" s="7">
        <f>(C23*D23)</f>
        <v>0</v>
      </c>
      <c r="G23" s="73">
        <f>(E23+F23)</f>
        <v>0</v>
      </c>
      <c r="H23" s="288"/>
    </row>
    <row r="24" spans="1:8" ht="12.75">
      <c r="A24" s="78"/>
      <c r="B24" s="29"/>
      <c r="C24" s="29"/>
      <c r="D24" s="79"/>
      <c r="E24" s="7">
        <f>(B24*D24)</f>
        <v>0</v>
      </c>
      <c r="F24" s="7">
        <f>(C24*D24)</f>
        <v>0</v>
      </c>
      <c r="G24" s="73">
        <f>(E24+F24)</f>
        <v>0</v>
      </c>
      <c r="H24" s="288"/>
    </row>
    <row r="25" spans="1:8" ht="12.75">
      <c r="A25" s="78"/>
      <c r="B25" s="29"/>
      <c r="C25" s="29"/>
      <c r="D25" s="79"/>
      <c r="E25" s="7">
        <f>(B25*D25)</f>
        <v>0</v>
      </c>
      <c r="F25" s="7">
        <f>(C25*D25)</f>
        <v>0</v>
      </c>
      <c r="G25" s="73">
        <f>(E25+F25)</f>
        <v>0</v>
      </c>
      <c r="H25" s="288"/>
    </row>
    <row r="26" spans="1:8" ht="12.75">
      <c r="A26" s="277"/>
      <c r="B26" s="277"/>
      <c r="C26" s="277"/>
      <c r="D26" s="277"/>
      <c r="E26" s="277"/>
      <c r="F26" s="277"/>
      <c r="G26" s="277"/>
      <c r="H26" s="288"/>
    </row>
    <row r="27" spans="1:8" ht="15">
      <c r="A27" s="297" t="s">
        <v>154</v>
      </c>
      <c r="B27" s="298"/>
      <c r="C27" s="298"/>
      <c r="D27" s="299"/>
      <c r="E27" s="34">
        <f>SUM(E6:E25)</f>
        <v>0</v>
      </c>
      <c r="F27" s="34">
        <f>SUM(F6:F25)</f>
        <v>0</v>
      </c>
      <c r="G27" s="75">
        <f>(E27+F27)</f>
        <v>0</v>
      </c>
      <c r="H27" s="288"/>
    </row>
    <row r="28" spans="1:8" ht="15">
      <c r="A28" s="297" t="s">
        <v>27</v>
      </c>
      <c r="B28" s="298"/>
      <c r="C28" s="298"/>
      <c r="D28" s="299"/>
      <c r="E28" s="34">
        <f>E4</f>
        <v>0</v>
      </c>
      <c r="F28" s="34">
        <f>F4</f>
        <v>0</v>
      </c>
      <c r="G28" s="75">
        <f>E28+F28</f>
        <v>0</v>
      </c>
      <c r="H28" s="288"/>
    </row>
    <row r="29" spans="1:8" ht="18.75" customHeight="1">
      <c r="A29" s="300" t="s">
        <v>43</v>
      </c>
      <c r="B29" s="301"/>
      <c r="C29" s="301"/>
      <c r="D29" s="302"/>
      <c r="E29" s="47">
        <f>E27+E28</f>
        <v>0</v>
      </c>
      <c r="F29" s="47">
        <f>F27+F28</f>
        <v>0</v>
      </c>
      <c r="G29" s="74">
        <f>G27+G28</f>
        <v>0</v>
      </c>
      <c r="H29" s="288"/>
    </row>
    <row r="30" spans="1:8" ht="34.5" customHeight="1">
      <c r="A30" s="293" t="s">
        <v>86</v>
      </c>
      <c r="B30" s="294"/>
      <c r="C30" s="295"/>
      <c r="D30" s="25"/>
      <c r="E30" s="291"/>
      <c r="F30" s="292"/>
      <c r="G30" s="74">
        <f>(D30*D4)</f>
        <v>0</v>
      </c>
      <c r="H30" s="288"/>
    </row>
    <row r="31" spans="1:8" ht="12.75">
      <c r="A31" s="290"/>
      <c r="B31" s="290"/>
      <c r="C31" s="290"/>
      <c r="D31" s="290"/>
      <c r="E31" s="290"/>
      <c r="F31" s="290"/>
      <c r="G31" s="290"/>
      <c r="H31" s="289"/>
    </row>
    <row r="37" ht="12.75">
      <c r="E37" s="173"/>
    </row>
  </sheetData>
  <sheetProtection password="C58F" sheet="1" selectLockedCells="1"/>
  <mergeCells count="18">
    <mergeCell ref="A5:G5"/>
    <mergeCell ref="B2:B3"/>
    <mergeCell ref="A1:G1"/>
    <mergeCell ref="A26:G26"/>
    <mergeCell ref="C2:C3"/>
    <mergeCell ref="D2:D3"/>
    <mergeCell ref="E2:E3"/>
    <mergeCell ref="F2:F3"/>
    <mergeCell ref="H1:H31"/>
    <mergeCell ref="A31:G31"/>
    <mergeCell ref="E30:F30"/>
    <mergeCell ref="A30:C30"/>
    <mergeCell ref="I2:I3"/>
    <mergeCell ref="A27:D27"/>
    <mergeCell ref="A28:D28"/>
    <mergeCell ref="A29:D29"/>
    <mergeCell ref="G2:G3"/>
    <mergeCell ref="A2:A3"/>
  </mergeCells>
  <printOptions gridLines="1" verticalCentered="1"/>
  <pageMargins left="0" right="0" top="0" bottom="0" header="0" footer="0"/>
  <pageSetup blackAndWhite="1" horizontalDpi="300" verticalDpi="300" orientation="landscape"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I31"/>
  <sheetViews>
    <sheetView zoomScalePageLayoutView="0" workbookViewId="0" topLeftCell="A1">
      <pane ySplit="5" topLeftCell="A6" activePane="bottomLeft" state="frozen"/>
      <selection pane="topLeft" activeCell="A1" sqref="A1"/>
      <selection pane="bottomLeft" activeCell="D30" sqref="D30"/>
    </sheetView>
  </sheetViews>
  <sheetFormatPr defaultColWidth="9.140625" defaultRowHeight="12.75"/>
  <cols>
    <col min="1" max="1" width="26.57421875" style="0" customWidth="1"/>
    <col min="2" max="2" width="12.00390625" style="0" customWidth="1"/>
    <col min="3" max="3" width="13.140625" style="0" customWidth="1"/>
    <col min="4" max="4" width="10.140625" style="0" customWidth="1"/>
    <col min="5" max="5" width="17.00390625" style="0" customWidth="1"/>
    <col min="6" max="6" width="15.8515625" style="0" customWidth="1"/>
    <col min="7" max="7" width="15.28125" style="0" customWidth="1"/>
    <col min="8" max="8" width="2.7109375" style="0" customWidth="1"/>
    <col min="9" max="9" width="24.28125" style="0" customWidth="1"/>
    <col min="10" max="10" width="1.1484375" style="0" customWidth="1"/>
    <col min="11" max="11" width="1.421875" style="0" customWidth="1"/>
    <col min="12" max="12" width="0.9921875" style="0" customWidth="1"/>
  </cols>
  <sheetData>
    <row r="1" spans="1:9" ht="18" customHeight="1">
      <c r="A1" s="321" t="s">
        <v>35</v>
      </c>
      <c r="B1" s="322"/>
      <c r="C1" s="322"/>
      <c r="D1" s="322"/>
      <c r="E1" s="322"/>
      <c r="F1" s="322"/>
      <c r="G1" s="322"/>
      <c r="H1" s="288"/>
      <c r="I1" s="318" t="s">
        <v>167</v>
      </c>
    </row>
    <row r="2" spans="1:9" ht="12.75" customHeight="1">
      <c r="A2" s="305" t="s">
        <v>50</v>
      </c>
      <c r="B2" s="308" t="s">
        <v>71</v>
      </c>
      <c r="C2" s="308" t="s">
        <v>72</v>
      </c>
      <c r="D2" s="308" t="s">
        <v>13</v>
      </c>
      <c r="E2" s="308" t="s">
        <v>102</v>
      </c>
      <c r="F2" s="308" t="s">
        <v>103</v>
      </c>
      <c r="G2" s="303" t="s">
        <v>101</v>
      </c>
      <c r="H2" s="288"/>
      <c r="I2" s="318"/>
    </row>
    <row r="3" spans="1:9" ht="22.5" customHeight="1">
      <c r="A3" s="323"/>
      <c r="B3" s="324"/>
      <c r="C3" s="317"/>
      <c r="D3" s="317"/>
      <c r="E3" s="317"/>
      <c r="F3" s="317"/>
      <c r="G3" s="316"/>
      <c r="H3" s="288"/>
      <c r="I3" s="296" t="s">
        <v>168</v>
      </c>
    </row>
    <row r="4" spans="1:9" ht="18" customHeight="1">
      <c r="A4" s="105" t="s">
        <v>20</v>
      </c>
      <c r="B4" s="47">
        <f>MACH1920!C138</f>
        <v>19.95</v>
      </c>
      <c r="C4" s="47">
        <f>MACH1920!D138</f>
        <v>3.6959999999999997</v>
      </c>
      <c r="D4" s="80">
        <f>SUM(D6:D25)</f>
        <v>0</v>
      </c>
      <c r="E4" s="47">
        <f>(B4*D4)</f>
        <v>0</v>
      </c>
      <c r="F4" s="47">
        <f>(C4*D4)</f>
        <v>0</v>
      </c>
      <c r="G4" s="74">
        <f>(E4+F4)</f>
        <v>0</v>
      </c>
      <c r="H4" s="288"/>
      <c r="I4" s="296"/>
    </row>
    <row r="5" spans="1:8" ht="15">
      <c r="A5" s="307"/>
      <c r="B5" s="307"/>
      <c r="C5" s="307"/>
      <c r="D5" s="307"/>
      <c r="E5" s="307"/>
      <c r="F5" s="307"/>
      <c r="G5" s="307"/>
      <c r="H5" s="288"/>
    </row>
    <row r="6" spans="1:8" ht="12.75">
      <c r="A6" s="21"/>
      <c r="B6" s="29"/>
      <c r="C6" s="29"/>
      <c r="D6" s="26"/>
      <c r="E6" s="7">
        <f aca="true" t="shared" si="0" ref="E6:E20">(B6*D6)</f>
        <v>0</v>
      </c>
      <c r="F6" s="7">
        <f aca="true" t="shared" si="1" ref="F6:F20">(C6*D6)</f>
        <v>0</v>
      </c>
      <c r="G6" s="73">
        <f aca="true" t="shared" si="2" ref="G6:G20">(E6+F6)</f>
        <v>0</v>
      </c>
      <c r="H6" s="288"/>
    </row>
    <row r="7" spans="1:8" ht="12.75">
      <c r="A7" s="21"/>
      <c r="B7" s="29"/>
      <c r="C7" s="29"/>
      <c r="D7" s="25"/>
      <c r="E7" s="7">
        <f t="shared" si="0"/>
        <v>0</v>
      </c>
      <c r="F7" s="7">
        <f t="shared" si="1"/>
        <v>0</v>
      </c>
      <c r="G7" s="73">
        <f t="shared" si="2"/>
        <v>0</v>
      </c>
      <c r="H7" s="288"/>
    </row>
    <row r="8" spans="1:8" ht="12.75">
      <c r="A8" s="21"/>
      <c r="B8" s="29"/>
      <c r="C8" s="29"/>
      <c r="D8" s="26"/>
      <c r="E8" s="7">
        <f t="shared" si="0"/>
        <v>0</v>
      </c>
      <c r="F8" s="7">
        <f t="shared" si="1"/>
        <v>0</v>
      </c>
      <c r="G8" s="73">
        <f t="shared" si="2"/>
        <v>0</v>
      </c>
      <c r="H8" s="288"/>
    </row>
    <row r="9" spans="1:8" ht="12.75">
      <c r="A9" s="21"/>
      <c r="B9" s="29"/>
      <c r="C9" s="29"/>
      <c r="D9" s="26"/>
      <c r="E9" s="7">
        <f t="shared" si="0"/>
        <v>0</v>
      </c>
      <c r="F9" s="7">
        <f t="shared" si="1"/>
        <v>0</v>
      </c>
      <c r="G9" s="73">
        <f t="shared" si="2"/>
        <v>0</v>
      </c>
      <c r="H9" s="288"/>
    </row>
    <row r="10" spans="1:8" ht="12.75">
      <c r="A10" s="21"/>
      <c r="B10" s="29"/>
      <c r="C10" s="29"/>
      <c r="D10" s="26"/>
      <c r="E10" s="7">
        <f t="shared" si="0"/>
        <v>0</v>
      </c>
      <c r="F10" s="7">
        <f t="shared" si="1"/>
        <v>0</v>
      </c>
      <c r="G10" s="73">
        <f t="shared" si="2"/>
        <v>0</v>
      </c>
      <c r="H10" s="288"/>
    </row>
    <row r="11" spans="1:8" ht="12.75">
      <c r="A11" s="21"/>
      <c r="B11" s="29"/>
      <c r="C11" s="29"/>
      <c r="D11" s="26"/>
      <c r="E11" s="7">
        <f t="shared" si="0"/>
        <v>0</v>
      </c>
      <c r="F11" s="7">
        <f t="shared" si="1"/>
        <v>0</v>
      </c>
      <c r="G11" s="73">
        <f t="shared" si="2"/>
        <v>0</v>
      </c>
      <c r="H11" s="288"/>
    </row>
    <row r="12" spans="1:8" ht="12.75">
      <c r="A12" s="21"/>
      <c r="B12" s="29"/>
      <c r="C12" s="29"/>
      <c r="D12" s="26"/>
      <c r="E12" s="7">
        <f t="shared" si="0"/>
        <v>0</v>
      </c>
      <c r="F12" s="7">
        <f t="shared" si="1"/>
        <v>0</v>
      </c>
      <c r="G12" s="73">
        <f t="shared" si="2"/>
        <v>0</v>
      </c>
      <c r="H12" s="288"/>
    </row>
    <row r="13" spans="1:8" ht="12.75">
      <c r="A13" s="21"/>
      <c r="B13" s="29"/>
      <c r="C13" s="29"/>
      <c r="D13" s="25"/>
      <c r="E13" s="7">
        <f t="shared" si="0"/>
        <v>0</v>
      </c>
      <c r="F13" s="7">
        <f t="shared" si="1"/>
        <v>0</v>
      </c>
      <c r="G13" s="73">
        <f t="shared" si="2"/>
        <v>0</v>
      </c>
      <c r="H13" s="288"/>
    </row>
    <row r="14" spans="1:8" ht="12.75">
      <c r="A14" s="21"/>
      <c r="B14" s="29"/>
      <c r="C14" s="29"/>
      <c r="D14" s="25"/>
      <c r="E14" s="7">
        <f t="shared" si="0"/>
        <v>0</v>
      </c>
      <c r="F14" s="7">
        <f t="shared" si="1"/>
        <v>0</v>
      </c>
      <c r="G14" s="73">
        <f t="shared" si="2"/>
        <v>0</v>
      </c>
      <c r="H14" s="288"/>
    </row>
    <row r="15" spans="1:8" ht="12.75">
      <c r="A15" s="21"/>
      <c r="B15" s="29"/>
      <c r="C15" s="29"/>
      <c r="D15" s="25"/>
      <c r="E15" s="7">
        <f t="shared" si="0"/>
        <v>0</v>
      </c>
      <c r="F15" s="7">
        <f t="shared" si="1"/>
        <v>0</v>
      </c>
      <c r="G15" s="73">
        <f t="shared" si="2"/>
        <v>0</v>
      </c>
      <c r="H15" s="288"/>
    </row>
    <row r="16" spans="1:8" ht="12.75">
      <c r="A16" s="21"/>
      <c r="B16" s="29"/>
      <c r="C16" s="29"/>
      <c r="D16" s="25"/>
      <c r="E16" s="7">
        <f t="shared" si="0"/>
        <v>0</v>
      </c>
      <c r="F16" s="7">
        <f t="shared" si="1"/>
        <v>0</v>
      </c>
      <c r="G16" s="73">
        <f t="shared" si="2"/>
        <v>0</v>
      </c>
      <c r="H16" s="288"/>
    </row>
    <row r="17" spans="1:8" ht="12.75">
      <c r="A17" s="21"/>
      <c r="B17" s="29"/>
      <c r="C17" s="29"/>
      <c r="D17" s="25"/>
      <c r="E17" s="7">
        <f t="shared" si="0"/>
        <v>0</v>
      </c>
      <c r="F17" s="7">
        <f t="shared" si="1"/>
        <v>0</v>
      </c>
      <c r="G17" s="73">
        <f t="shared" si="2"/>
        <v>0</v>
      </c>
      <c r="H17" s="288"/>
    </row>
    <row r="18" spans="1:8" ht="12.75">
      <c r="A18" s="21"/>
      <c r="B18" s="29"/>
      <c r="C18" s="29"/>
      <c r="D18" s="25"/>
      <c r="E18" s="7">
        <f t="shared" si="0"/>
        <v>0</v>
      </c>
      <c r="F18" s="7">
        <f t="shared" si="1"/>
        <v>0</v>
      </c>
      <c r="G18" s="73">
        <f t="shared" si="2"/>
        <v>0</v>
      </c>
      <c r="H18" s="288"/>
    </row>
    <row r="19" spans="1:8" ht="12.75">
      <c r="A19" s="21"/>
      <c r="B19" s="29"/>
      <c r="C19" s="29"/>
      <c r="D19" s="25"/>
      <c r="E19" s="7">
        <f t="shared" si="0"/>
        <v>0</v>
      </c>
      <c r="F19" s="7">
        <f t="shared" si="1"/>
        <v>0</v>
      </c>
      <c r="G19" s="73">
        <f t="shared" si="2"/>
        <v>0</v>
      </c>
      <c r="H19" s="288"/>
    </row>
    <row r="20" spans="1:8" ht="12.75">
      <c r="A20" s="21"/>
      <c r="B20" s="29"/>
      <c r="C20" s="29"/>
      <c r="D20" s="25"/>
      <c r="E20" s="7">
        <f t="shared" si="0"/>
        <v>0</v>
      </c>
      <c r="F20" s="7">
        <f t="shared" si="1"/>
        <v>0</v>
      </c>
      <c r="G20" s="73">
        <f t="shared" si="2"/>
        <v>0</v>
      </c>
      <c r="H20" s="288"/>
    </row>
    <row r="21" spans="1:8" ht="12.75">
      <c r="A21" s="78"/>
      <c r="B21" s="29"/>
      <c r="C21" s="29"/>
      <c r="D21" s="79"/>
      <c r="E21" s="7">
        <f>(B21*D21)</f>
        <v>0</v>
      </c>
      <c r="F21" s="7">
        <f>(C21*D21)</f>
        <v>0</v>
      </c>
      <c r="G21" s="73">
        <f>(E21+F21)</f>
        <v>0</v>
      </c>
      <c r="H21" s="288"/>
    </row>
    <row r="22" spans="1:8" ht="12.75">
      <c r="A22" s="78"/>
      <c r="B22" s="29"/>
      <c r="C22" s="29"/>
      <c r="D22" s="79"/>
      <c r="E22" s="7">
        <f>(B22*D22)</f>
        <v>0</v>
      </c>
      <c r="F22" s="7">
        <f>(C22*D22)</f>
        <v>0</v>
      </c>
      <c r="G22" s="73">
        <f>(E22+F22)</f>
        <v>0</v>
      </c>
      <c r="H22" s="288"/>
    </row>
    <row r="23" spans="1:8" ht="12.75">
      <c r="A23" s="78"/>
      <c r="B23" s="29"/>
      <c r="C23" s="29"/>
      <c r="D23" s="79"/>
      <c r="E23" s="7">
        <f>(B23*D23)</f>
        <v>0</v>
      </c>
      <c r="F23" s="7">
        <f>(C23*D23)</f>
        <v>0</v>
      </c>
      <c r="G23" s="73">
        <f>(E23+F23)</f>
        <v>0</v>
      </c>
      <c r="H23" s="288"/>
    </row>
    <row r="24" spans="1:8" ht="12.75">
      <c r="A24" s="78"/>
      <c r="B24" s="29"/>
      <c r="C24" s="29"/>
      <c r="D24" s="79"/>
      <c r="E24" s="7">
        <f>(B24*D24)</f>
        <v>0</v>
      </c>
      <c r="F24" s="7">
        <f>(C24*D24)</f>
        <v>0</v>
      </c>
      <c r="G24" s="73">
        <f>(E24+F24)</f>
        <v>0</v>
      </c>
      <c r="H24" s="288"/>
    </row>
    <row r="25" spans="1:8" ht="12.75">
      <c r="A25" s="78"/>
      <c r="B25" s="29"/>
      <c r="C25" s="29"/>
      <c r="D25" s="79"/>
      <c r="E25" s="7">
        <f>(B25*D25)</f>
        <v>0</v>
      </c>
      <c r="F25" s="7">
        <f>(C25*D25)</f>
        <v>0</v>
      </c>
      <c r="G25" s="73">
        <f>(E25+F25)</f>
        <v>0</v>
      </c>
      <c r="H25" s="288"/>
    </row>
    <row r="26" spans="1:8" ht="12.75">
      <c r="A26" s="277"/>
      <c r="B26" s="277"/>
      <c r="C26" s="277"/>
      <c r="D26" s="277"/>
      <c r="E26" s="277"/>
      <c r="F26" s="277"/>
      <c r="G26" s="277"/>
      <c r="H26" s="288"/>
    </row>
    <row r="27" spans="1:8" ht="15">
      <c r="A27" s="297" t="s">
        <v>154</v>
      </c>
      <c r="B27" s="298"/>
      <c r="C27" s="298"/>
      <c r="D27" s="299"/>
      <c r="E27" s="34">
        <f>SUM(E6:E25)</f>
        <v>0</v>
      </c>
      <c r="F27" s="34">
        <f>SUM(F6:F25)</f>
        <v>0</v>
      </c>
      <c r="G27" s="75">
        <f>(E27+F27)</f>
        <v>0</v>
      </c>
      <c r="H27" s="288"/>
    </row>
    <row r="28" spans="1:8" ht="15">
      <c r="A28" s="297" t="s">
        <v>27</v>
      </c>
      <c r="B28" s="298"/>
      <c r="C28" s="298"/>
      <c r="D28" s="299"/>
      <c r="E28" s="34">
        <f>E4</f>
        <v>0</v>
      </c>
      <c r="F28" s="34">
        <f>F4</f>
        <v>0</v>
      </c>
      <c r="G28" s="75">
        <f>E28+F28</f>
        <v>0</v>
      </c>
      <c r="H28" s="288"/>
    </row>
    <row r="29" spans="1:8" ht="20.25" customHeight="1">
      <c r="A29" s="300" t="s">
        <v>43</v>
      </c>
      <c r="B29" s="301"/>
      <c r="C29" s="301"/>
      <c r="D29" s="302"/>
      <c r="E29" s="47">
        <f>E27+E28</f>
        <v>0</v>
      </c>
      <c r="F29" s="47">
        <f>F27+F28</f>
        <v>0</v>
      </c>
      <c r="G29" s="74">
        <f>G27+G28</f>
        <v>0</v>
      </c>
      <c r="H29" s="288"/>
    </row>
    <row r="30" spans="1:8" ht="31.5" customHeight="1">
      <c r="A30" s="293" t="s">
        <v>86</v>
      </c>
      <c r="B30" s="294"/>
      <c r="C30" s="295"/>
      <c r="D30" s="25"/>
      <c r="E30" s="319"/>
      <c r="F30" s="320"/>
      <c r="G30" s="74">
        <f>(D30*D4)</f>
        <v>0</v>
      </c>
      <c r="H30" s="288"/>
    </row>
    <row r="31" spans="1:8" ht="12.75" customHeight="1">
      <c r="A31" s="290"/>
      <c r="B31" s="290"/>
      <c r="C31" s="290"/>
      <c r="D31" s="290"/>
      <c r="E31" s="290"/>
      <c r="F31" s="290"/>
      <c r="G31" s="290"/>
      <c r="H31" s="289"/>
    </row>
  </sheetData>
  <sheetProtection password="C58F" sheet="1" selectLockedCells="1"/>
  <mergeCells count="19">
    <mergeCell ref="E30:F30"/>
    <mergeCell ref="A1:G1"/>
    <mergeCell ref="A2:A3"/>
    <mergeCell ref="C2:C3"/>
    <mergeCell ref="B2:B3"/>
    <mergeCell ref="D2:D3"/>
    <mergeCell ref="E2:E3"/>
    <mergeCell ref="A27:D27"/>
    <mergeCell ref="A30:C30"/>
    <mergeCell ref="I3:I4"/>
    <mergeCell ref="A26:G26"/>
    <mergeCell ref="G2:G3"/>
    <mergeCell ref="A5:G5"/>
    <mergeCell ref="F2:F3"/>
    <mergeCell ref="I1:I2"/>
    <mergeCell ref="H1:H31"/>
    <mergeCell ref="A31:G31"/>
    <mergeCell ref="A28:D28"/>
    <mergeCell ref="A29:D29"/>
  </mergeCells>
  <printOptions gridLines="1" verticalCentered="1"/>
  <pageMargins left="0" right="0" top="0" bottom="0" header="0" footer="0"/>
  <pageSetup blackAndWhite="1" horizontalDpi="300" verticalDpi="300" orientation="landscape" r:id="rId1"/>
</worksheet>
</file>

<file path=xl/worksheets/sheet6.xml><?xml version="1.0" encoding="utf-8"?>
<worksheet xmlns="http://schemas.openxmlformats.org/spreadsheetml/2006/main" xmlns:r="http://schemas.openxmlformats.org/officeDocument/2006/relationships">
  <sheetPr>
    <tabColor theme="3"/>
  </sheetPr>
  <dimension ref="A1:I32"/>
  <sheetViews>
    <sheetView tabSelected="1" zoomScalePageLayoutView="0" workbookViewId="0" topLeftCell="A1">
      <pane ySplit="5" topLeftCell="A6" activePane="bottomLeft" state="frozen"/>
      <selection pane="topLeft" activeCell="I39" sqref="I39"/>
      <selection pane="bottomLeft" activeCell="E20" sqref="E20"/>
    </sheetView>
  </sheetViews>
  <sheetFormatPr defaultColWidth="9.140625" defaultRowHeight="12.75"/>
  <cols>
    <col min="1" max="1" width="31.421875" style="0" customWidth="1"/>
    <col min="2" max="2" width="10.140625" style="0" customWidth="1"/>
    <col min="3" max="3" width="9.7109375" style="0" customWidth="1"/>
    <col min="4" max="4" width="9.8515625" style="0" customWidth="1"/>
    <col min="5" max="5" width="15.421875" style="0" customWidth="1"/>
    <col min="6" max="6" width="12.421875" style="0" customWidth="1"/>
    <col min="7" max="7" width="12.57421875" style="0" customWidth="1"/>
    <col min="8" max="8" width="2.28125" style="0" customWidth="1"/>
    <col min="9" max="9" width="23.8515625" style="0" customWidth="1"/>
    <col min="10" max="10" width="1.7109375" style="0" customWidth="1"/>
    <col min="11" max="11" width="1.1484375" style="0" customWidth="1"/>
  </cols>
  <sheetData>
    <row r="1" spans="1:9" ht="22.5" customHeight="1">
      <c r="A1" s="325" t="s">
        <v>108</v>
      </c>
      <c r="B1" s="325"/>
      <c r="C1" s="325"/>
      <c r="D1" s="325"/>
      <c r="E1" s="325"/>
      <c r="F1" s="325"/>
      <c r="G1" s="326"/>
      <c r="H1" s="336"/>
      <c r="I1" s="318" t="s">
        <v>167</v>
      </c>
    </row>
    <row r="2" spans="1:9" ht="12.75" customHeight="1">
      <c r="A2" s="305" t="s">
        <v>50</v>
      </c>
      <c r="B2" s="308" t="s">
        <v>73</v>
      </c>
      <c r="C2" s="308" t="s">
        <v>74</v>
      </c>
      <c r="D2" s="314" t="s">
        <v>13</v>
      </c>
      <c r="E2" s="308" t="s">
        <v>102</v>
      </c>
      <c r="F2" s="308" t="s">
        <v>103</v>
      </c>
      <c r="G2" s="303" t="s">
        <v>101</v>
      </c>
      <c r="H2" s="336"/>
      <c r="I2" s="318"/>
    </row>
    <row r="3" spans="1:9" ht="28.5" customHeight="1">
      <c r="A3" s="306"/>
      <c r="B3" s="309"/>
      <c r="C3" s="313"/>
      <c r="D3" s="315"/>
      <c r="E3" s="309"/>
      <c r="F3" s="309"/>
      <c r="G3" s="304"/>
      <c r="H3" s="336"/>
      <c r="I3" s="91" t="s">
        <v>168</v>
      </c>
    </row>
    <row r="4" spans="1:9" ht="16.5" customHeight="1">
      <c r="A4" s="110" t="s">
        <v>109</v>
      </c>
      <c r="B4" s="47">
        <f>MACH1920!C140</f>
        <v>25.633999999999997</v>
      </c>
      <c r="C4" s="47">
        <f>MACH1920!D140</f>
        <v>5.0688</v>
      </c>
      <c r="D4" s="80">
        <f>SUM(D6:D25)</f>
        <v>3.7800000000000002</v>
      </c>
      <c r="E4" s="47">
        <f>(B4*D4)</f>
        <v>96.89652</v>
      </c>
      <c r="F4" s="47">
        <f>(C4*D4)</f>
        <v>19.160064000000002</v>
      </c>
      <c r="G4" s="74">
        <f>E4+F4</f>
        <v>116.056584</v>
      </c>
      <c r="H4" s="336"/>
      <c r="I4" s="91"/>
    </row>
    <row r="5" spans="1:8" ht="11.25" customHeight="1">
      <c r="A5" s="307"/>
      <c r="B5" s="307"/>
      <c r="C5" s="307"/>
      <c r="D5" s="307"/>
      <c r="E5" s="307"/>
      <c r="F5" s="307"/>
      <c r="G5" s="307"/>
      <c r="H5" s="337"/>
    </row>
    <row r="6" spans="1:8" ht="12.75">
      <c r="A6" s="21" t="s">
        <v>365</v>
      </c>
      <c r="B6" s="29">
        <v>12.739999999999998</v>
      </c>
      <c r="C6" s="29">
        <v>9.345600000000001</v>
      </c>
      <c r="D6" s="108">
        <v>0.8</v>
      </c>
      <c r="E6" s="7">
        <f aca="true" t="shared" si="0" ref="E6:E20">(B6*D6)</f>
        <v>10.192</v>
      </c>
      <c r="F6" s="7">
        <f aca="true" t="shared" si="1" ref="F6:F20">(C6*D6)</f>
        <v>7.476480000000001</v>
      </c>
      <c r="G6" s="73">
        <f aca="true" t="shared" si="2" ref="G6:G20">(E6+F6)</f>
        <v>17.668480000000002</v>
      </c>
      <c r="H6" s="336"/>
    </row>
    <row r="7" spans="1:8" ht="12.75">
      <c r="A7" s="21" t="s">
        <v>366</v>
      </c>
      <c r="B7" s="29">
        <v>2.114</v>
      </c>
      <c r="C7" s="29">
        <v>2.2572</v>
      </c>
      <c r="D7" s="108">
        <v>0.13</v>
      </c>
      <c r="E7" s="7">
        <f t="shared" si="0"/>
        <v>0.27482</v>
      </c>
      <c r="F7" s="7">
        <f t="shared" si="1"/>
        <v>0.29343600000000003</v>
      </c>
      <c r="G7" s="73">
        <f t="shared" si="2"/>
        <v>0.5682560000000001</v>
      </c>
      <c r="H7" s="336"/>
    </row>
    <row r="8" spans="1:8" ht="12.75">
      <c r="A8" s="21" t="s">
        <v>120</v>
      </c>
      <c r="B8" s="29">
        <v>0.392</v>
      </c>
      <c r="C8" s="29">
        <v>1.4388</v>
      </c>
      <c r="D8" s="32">
        <v>1.52</v>
      </c>
      <c r="E8" s="7">
        <f t="shared" si="0"/>
        <v>0.59584</v>
      </c>
      <c r="F8" s="7">
        <f t="shared" si="1"/>
        <v>2.186976</v>
      </c>
      <c r="G8" s="73">
        <f t="shared" si="2"/>
        <v>2.782816</v>
      </c>
      <c r="H8" s="336"/>
    </row>
    <row r="9" spans="1:8" ht="12.75">
      <c r="A9" s="78" t="s">
        <v>118</v>
      </c>
      <c r="B9" s="29">
        <v>3.6259999999999994</v>
      </c>
      <c r="C9" s="29">
        <v>4.501200000000001</v>
      </c>
      <c r="D9" s="79">
        <v>1.33</v>
      </c>
      <c r="E9" s="7">
        <f t="shared" si="0"/>
        <v>4.822579999999999</v>
      </c>
      <c r="F9" s="7">
        <f t="shared" si="1"/>
        <v>5.986596000000001</v>
      </c>
      <c r="G9" s="73">
        <f t="shared" si="2"/>
        <v>10.809176</v>
      </c>
      <c r="H9" s="336"/>
    </row>
    <row r="10" spans="1:8" ht="12.75">
      <c r="A10" s="21"/>
      <c r="B10" s="29"/>
      <c r="C10" s="29"/>
      <c r="D10" s="26"/>
      <c r="E10" s="7">
        <f t="shared" si="0"/>
        <v>0</v>
      </c>
      <c r="F10" s="7">
        <f t="shared" si="1"/>
        <v>0</v>
      </c>
      <c r="G10" s="73">
        <f t="shared" si="2"/>
        <v>0</v>
      </c>
      <c r="H10" s="336"/>
    </row>
    <row r="11" spans="1:8" ht="12.75">
      <c r="A11" s="21"/>
      <c r="B11" s="29"/>
      <c r="C11" s="29"/>
      <c r="D11" s="26"/>
      <c r="E11" s="7">
        <f t="shared" si="0"/>
        <v>0</v>
      </c>
      <c r="F11" s="7">
        <f t="shared" si="1"/>
        <v>0</v>
      </c>
      <c r="G11" s="73">
        <f t="shared" si="2"/>
        <v>0</v>
      </c>
      <c r="H11" s="336"/>
    </row>
    <row r="12" spans="1:8" ht="12.75">
      <c r="A12" s="21"/>
      <c r="B12" s="29"/>
      <c r="C12" s="29"/>
      <c r="D12" s="26"/>
      <c r="E12" s="7">
        <f t="shared" si="0"/>
        <v>0</v>
      </c>
      <c r="F12" s="7">
        <f t="shared" si="1"/>
        <v>0</v>
      </c>
      <c r="G12" s="73">
        <f t="shared" si="2"/>
        <v>0</v>
      </c>
      <c r="H12" s="336"/>
    </row>
    <row r="13" spans="1:8" ht="12.75">
      <c r="A13" s="21"/>
      <c r="B13" s="29"/>
      <c r="C13" s="29"/>
      <c r="D13" s="25"/>
      <c r="E13" s="7">
        <f t="shared" si="0"/>
        <v>0</v>
      </c>
      <c r="F13" s="7">
        <f t="shared" si="1"/>
        <v>0</v>
      </c>
      <c r="G13" s="73">
        <f t="shared" si="2"/>
        <v>0</v>
      </c>
      <c r="H13" s="336"/>
    </row>
    <row r="14" spans="1:8" ht="12.75">
      <c r="A14" s="21"/>
      <c r="B14" s="29"/>
      <c r="C14" s="29"/>
      <c r="D14" s="25"/>
      <c r="E14" s="7">
        <f t="shared" si="0"/>
        <v>0</v>
      </c>
      <c r="F14" s="7">
        <f t="shared" si="1"/>
        <v>0</v>
      </c>
      <c r="G14" s="73">
        <f t="shared" si="2"/>
        <v>0</v>
      </c>
      <c r="H14" s="336"/>
    </row>
    <row r="15" spans="1:8" ht="12.75">
      <c r="A15" s="21"/>
      <c r="B15" s="29"/>
      <c r="C15" s="29"/>
      <c r="D15" s="25"/>
      <c r="E15" s="7">
        <f t="shared" si="0"/>
        <v>0</v>
      </c>
      <c r="F15" s="7">
        <f t="shared" si="1"/>
        <v>0</v>
      </c>
      <c r="G15" s="73">
        <f t="shared" si="2"/>
        <v>0</v>
      </c>
      <c r="H15" s="336"/>
    </row>
    <row r="16" spans="1:8" ht="12.75">
      <c r="A16" s="21"/>
      <c r="B16" s="29"/>
      <c r="C16" s="29"/>
      <c r="D16" s="25"/>
      <c r="E16" s="7">
        <f t="shared" si="0"/>
        <v>0</v>
      </c>
      <c r="F16" s="7">
        <f t="shared" si="1"/>
        <v>0</v>
      </c>
      <c r="G16" s="73">
        <f t="shared" si="2"/>
        <v>0</v>
      </c>
      <c r="H16" s="336"/>
    </row>
    <row r="17" spans="1:8" ht="12.75">
      <c r="A17" s="21"/>
      <c r="B17" s="29"/>
      <c r="C17" s="29"/>
      <c r="D17" s="25"/>
      <c r="E17" s="7">
        <f t="shared" si="0"/>
        <v>0</v>
      </c>
      <c r="F17" s="7">
        <f t="shared" si="1"/>
        <v>0</v>
      </c>
      <c r="G17" s="73">
        <f t="shared" si="2"/>
        <v>0</v>
      </c>
      <c r="H17" s="336"/>
    </row>
    <row r="18" spans="1:8" ht="12.75">
      <c r="A18" s="21"/>
      <c r="B18" s="29"/>
      <c r="C18" s="29"/>
      <c r="D18" s="25"/>
      <c r="E18" s="7">
        <f t="shared" si="0"/>
        <v>0</v>
      </c>
      <c r="F18" s="7">
        <f t="shared" si="1"/>
        <v>0</v>
      </c>
      <c r="G18" s="73">
        <f t="shared" si="2"/>
        <v>0</v>
      </c>
      <c r="H18" s="336"/>
    </row>
    <row r="19" spans="1:8" ht="12.75">
      <c r="A19" s="21"/>
      <c r="B19" s="29"/>
      <c r="C19" s="29"/>
      <c r="D19" s="25"/>
      <c r="E19" s="7">
        <f t="shared" si="0"/>
        <v>0</v>
      </c>
      <c r="F19" s="7">
        <f t="shared" si="1"/>
        <v>0</v>
      </c>
      <c r="G19" s="73">
        <f t="shared" si="2"/>
        <v>0</v>
      </c>
      <c r="H19" s="336"/>
    </row>
    <row r="20" spans="1:8" ht="12.75">
      <c r="A20" s="21"/>
      <c r="B20" s="29"/>
      <c r="C20" s="29"/>
      <c r="D20" s="25"/>
      <c r="E20" s="7">
        <f t="shared" si="0"/>
        <v>0</v>
      </c>
      <c r="F20" s="7">
        <f t="shared" si="1"/>
        <v>0</v>
      </c>
      <c r="G20" s="73">
        <f t="shared" si="2"/>
        <v>0</v>
      </c>
      <c r="H20" s="336"/>
    </row>
    <row r="21" spans="1:8" ht="12.75">
      <c r="A21" s="78"/>
      <c r="B21" s="29"/>
      <c r="C21" s="29"/>
      <c r="D21" s="79"/>
      <c r="E21" s="7">
        <f>(B21*D21)</f>
        <v>0</v>
      </c>
      <c r="F21" s="7">
        <f>(C21*D21)</f>
        <v>0</v>
      </c>
      <c r="G21" s="73">
        <f>(E21+F21)</f>
        <v>0</v>
      </c>
      <c r="H21" s="336"/>
    </row>
    <row r="22" spans="1:8" ht="12.75">
      <c r="A22" s="78"/>
      <c r="B22" s="29"/>
      <c r="C22" s="29"/>
      <c r="D22" s="79"/>
      <c r="E22" s="7">
        <f>(B22*D22)</f>
        <v>0</v>
      </c>
      <c r="F22" s="7">
        <f>(C22*D22)</f>
        <v>0</v>
      </c>
      <c r="G22" s="73">
        <f>(E22+F22)</f>
        <v>0</v>
      </c>
      <c r="H22" s="336"/>
    </row>
    <row r="23" spans="1:8" ht="12.75">
      <c r="A23" s="78"/>
      <c r="B23" s="29"/>
      <c r="C23" s="29"/>
      <c r="D23" s="79"/>
      <c r="E23" s="7">
        <f>(B23*D23)</f>
        <v>0</v>
      </c>
      <c r="F23" s="7">
        <f>(C23*D23)</f>
        <v>0</v>
      </c>
      <c r="G23" s="73">
        <f>(E23+F23)</f>
        <v>0</v>
      </c>
      <c r="H23" s="336"/>
    </row>
    <row r="24" spans="1:8" ht="12.75">
      <c r="A24" s="78"/>
      <c r="B24" s="29"/>
      <c r="C24" s="29"/>
      <c r="D24" s="79"/>
      <c r="E24" s="7">
        <f>(B24*D24)</f>
        <v>0</v>
      </c>
      <c r="F24" s="7">
        <f>(C24*D24)</f>
        <v>0</v>
      </c>
      <c r="G24" s="73">
        <f>(E24+F24)</f>
        <v>0</v>
      </c>
      <c r="H24" s="336"/>
    </row>
    <row r="25" spans="1:8" ht="12.75">
      <c r="A25" s="78"/>
      <c r="B25" s="29"/>
      <c r="C25" s="29"/>
      <c r="D25" s="79"/>
      <c r="E25" s="7">
        <f>(B25*D25)</f>
        <v>0</v>
      </c>
      <c r="F25" s="7">
        <f>(C25*D25)</f>
        <v>0</v>
      </c>
      <c r="G25" s="73">
        <f>(E25+F25)</f>
        <v>0</v>
      </c>
      <c r="H25" s="336"/>
    </row>
    <row r="26" spans="1:8" ht="12.75">
      <c r="A26" s="277"/>
      <c r="B26" s="277"/>
      <c r="C26" s="277"/>
      <c r="D26" s="277"/>
      <c r="E26" s="277"/>
      <c r="F26" s="277"/>
      <c r="G26" s="277"/>
      <c r="H26" s="337"/>
    </row>
    <row r="27" spans="1:8" ht="15">
      <c r="A27" s="297" t="s">
        <v>154</v>
      </c>
      <c r="B27" s="298"/>
      <c r="C27" s="298"/>
      <c r="D27" s="299"/>
      <c r="E27" s="34">
        <f>SUM(E6:E25)</f>
        <v>15.88524</v>
      </c>
      <c r="F27" s="34">
        <f>SUM(F6:F25)</f>
        <v>15.943488000000002</v>
      </c>
      <c r="G27" s="75">
        <f>(E27+F27)</f>
        <v>31.828728</v>
      </c>
      <c r="H27" s="336"/>
    </row>
    <row r="28" spans="1:8" ht="15">
      <c r="A28" s="297" t="s">
        <v>27</v>
      </c>
      <c r="B28" s="298"/>
      <c r="C28" s="298"/>
      <c r="D28" s="299"/>
      <c r="E28" s="34">
        <f>E4</f>
        <v>96.89652</v>
      </c>
      <c r="F28" s="34">
        <f>F4</f>
        <v>19.160064000000002</v>
      </c>
      <c r="G28" s="75">
        <f>E28+F28</f>
        <v>116.056584</v>
      </c>
      <c r="H28" s="336"/>
    </row>
    <row r="29" spans="1:8" ht="15" customHeight="1">
      <c r="A29" s="300" t="s">
        <v>43</v>
      </c>
      <c r="B29" s="301"/>
      <c r="C29" s="301"/>
      <c r="D29" s="302"/>
      <c r="E29" s="47">
        <f>E27+E28</f>
        <v>112.78175999999999</v>
      </c>
      <c r="F29" s="47">
        <f>F27+F28</f>
        <v>35.10355200000001</v>
      </c>
      <c r="G29" s="74">
        <f>G27+G28</f>
        <v>147.885312</v>
      </c>
      <c r="H29" s="336"/>
    </row>
    <row r="30" spans="1:8" ht="12.75" customHeight="1">
      <c r="A30" s="327" t="s">
        <v>86</v>
      </c>
      <c r="B30" s="328"/>
      <c r="C30" s="328"/>
      <c r="D30" s="465">
        <v>20</v>
      </c>
      <c r="E30" s="330"/>
      <c r="F30" s="331"/>
      <c r="G30" s="334">
        <f>(D30*D4)</f>
        <v>75.60000000000001</v>
      </c>
      <c r="H30" s="336"/>
    </row>
    <row r="31" spans="1:8" ht="21" customHeight="1">
      <c r="A31" s="329"/>
      <c r="B31" s="329"/>
      <c r="C31" s="329"/>
      <c r="D31" s="466"/>
      <c r="E31" s="332"/>
      <c r="F31" s="333"/>
      <c r="G31" s="335"/>
      <c r="H31" s="336"/>
    </row>
    <row r="32" spans="1:8" ht="12.75">
      <c r="A32" s="290"/>
      <c r="B32" s="290"/>
      <c r="C32" s="290"/>
      <c r="D32" s="290"/>
      <c r="E32" s="290"/>
      <c r="F32" s="290"/>
      <c r="G32" s="290"/>
      <c r="H32" s="76"/>
    </row>
  </sheetData>
  <sheetProtection sheet="1"/>
  <mergeCells count="20">
    <mergeCell ref="A32:G32"/>
    <mergeCell ref="I1:I2"/>
    <mergeCell ref="E30:F31"/>
    <mergeCell ref="E2:E3"/>
    <mergeCell ref="F2:F3"/>
    <mergeCell ref="G30:G31"/>
    <mergeCell ref="A26:G26"/>
    <mergeCell ref="A28:D28"/>
    <mergeCell ref="H1:H31"/>
    <mergeCell ref="G2:G3"/>
    <mergeCell ref="A1:G1"/>
    <mergeCell ref="A27:D27"/>
    <mergeCell ref="A30:C31"/>
    <mergeCell ref="A5:G5"/>
    <mergeCell ref="A2:A3"/>
    <mergeCell ref="B2:B3"/>
    <mergeCell ref="A29:D29"/>
    <mergeCell ref="C2:C3"/>
    <mergeCell ref="D2:D3"/>
    <mergeCell ref="D30:D31"/>
  </mergeCells>
  <printOptions gridLines="1" verticalCentered="1"/>
  <pageMargins left="0" right="0" top="0" bottom="0" header="0" footer="0"/>
  <pageSetup blackAndWhite="1" horizontalDpi="300" verticalDpi="300" orientation="landscape"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A1:I31"/>
  <sheetViews>
    <sheetView zoomScalePageLayoutView="0" workbookViewId="0" topLeftCell="A1">
      <pane ySplit="5" topLeftCell="A6" activePane="bottomLeft" state="frozen"/>
      <selection pane="topLeft" activeCell="I39" sqref="I39"/>
      <selection pane="bottomLeft" activeCell="A6" sqref="A6"/>
    </sheetView>
  </sheetViews>
  <sheetFormatPr defaultColWidth="9.140625" defaultRowHeight="12.75"/>
  <cols>
    <col min="1" max="1" width="28.28125" style="0" customWidth="1"/>
    <col min="2" max="2" width="11.28125" style="0" customWidth="1"/>
    <col min="3" max="3" width="10.140625" style="0" customWidth="1"/>
    <col min="4" max="4" width="9.8515625" style="0" customWidth="1"/>
    <col min="5" max="5" width="15.00390625" style="0" customWidth="1"/>
    <col min="6" max="6" width="13.140625" style="0" customWidth="1"/>
    <col min="7" max="7" width="12.28125" style="0" customWidth="1"/>
    <col min="8" max="8" width="2.57421875" style="0" customWidth="1"/>
    <col min="9" max="9" width="24.00390625" style="0" customWidth="1"/>
    <col min="10" max="10" width="1.57421875" style="0" customWidth="1"/>
    <col min="11" max="11" width="0.42578125" style="0" customWidth="1"/>
  </cols>
  <sheetData>
    <row r="1" spans="1:9" ht="26.25" customHeight="1">
      <c r="A1" s="310" t="s">
        <v>91</v>
      </c>
      <c r="B1" s="311"/>
      <c r="C1" s="311"/>
      <c r="D1" s="311"/>
      <c r="E1" s="311"/>
      <c r="F1" s="311"/>
      <c r="G1" s="311"/>
      <c r="H1" s="288"/>
      <c r="I1" s="318" t="s">
        <v>167</v>
      </c>
    </row>
    <row r="2" spans="1:9" ht="12.75" customHeight="1">
      <c r="A2" s="305" t="s">
        <v>50</v>
      </c>
      <c r="B2" s="308" t="s">
        <v>73</v>
      </c>
      <c r="C2" s="308" t="s">
        <v>74</v>
      </c>
      <c r="D2" s="314" t="s">
        <v>13</v>
      </c>
      <c r="E2" s="308" t="s">
        <v>102</v>
      </c>
      <c r="F2" s="308" t="s">
        <v>103</v>
      </c>
      <c r="G2" s="308" t="s">
        <v>101</v>
      </c>
      <c r="H2" s="288"/>
      <c r="I2" s="318"/>
    </row>
    <row r="3" spans="1:9" ht="29.25" customHeight="1">
      <c r="A3" s="306"/>
      <c r="B3" s="309"/>
      <c r="C3" s="313"/>
      <c r="D3" s="315"/>
      <c r="E3" s="309"/>
      <c r="F3" s="309"/>
      <c r="G3" s="309"/>
      <c r="H3" s="288"/>
      <c r="I3" s="91" t="s">
        <v>168</v>
      </c>
    </row>
    <row r="4" spans="1:9" ht="18.75" customHeight="1">
      <c r="A4" s="110" t="s">
        <v>93</v>
      </c>
      <c r="B4" s="47">
        <f>MACH1920!C141</f>
        <v>27.299999999999997</v>
      </c>
      <c r="C4" s="47">
        <f>MACH1920!D141</f>
        <v>5.187600000000001</v>
      </c>
      <c r="D4" s="80">
        <f>SUM(D6:D25)</f>
        <v>0</v>
      </c>
      <c r="E4" s="47">
        <f>(B4*D4)</f>
        <v>0</v>
      </c>
      <c r="F4" s="47">
        <f>(C4*D4)</f>
        <v>0</v>
      </c>
      <c r="G4" s="47">
        <f>E4+F4</f>
        <v>0</v>
      </c>
      <c r="H4" s="288"/>
      <c r="I4" s="91"/>
    </row>
    <row r="5" spans="1:8" ht="12.75" customHeight="1">
      <c r="A5" s="307"/>
      <c r="B5" s="307"/>
      <c r="C5" s="307"/>
      <c r="D5" s="307"/>
      <c r="E5" s="307"/>
      <c r="F5" s="307"/>
      <c r="G5" s="307"/>
      <c r="H5" s="288"/>
    </row>
    <row r="6" spans="1:8" ht="12.75">
      <c r="A6" s="21"/>
      <c r="B6" s="29"/>
      <c r="C6" s="29"/>
      <c r="D6" s="26"/>
      <c r="E6" s="7">
        <f aca="true" t="shared" si="0" ref="E6:E20">(B6*D6)</f>
        <v>0</v>
      </c>
      <c r="F6" s="7">
        <f aca="true" t="shared" si="1" ref="F6:F20">(C6*D6)</f>
        <v>0</v>
      </c>
      <c r="G6" s="7">
        <f aca="true" t="shared" si="2" ref="G6:G20">(E6+F6)</f>
        <v>0</v>
      </c>
      <c r="H6" s="288"/>
    </row>
    <row r="7" spans="1:8" ht="12.75">
      <c r="A7" s="21"/>
      <c r="B7" s="29"/>
      <c r="C7" s="29"/>
      <c r="D7" s="26"/>
      <c r="E7" s="7">
        <f t="shared" si="0"/>
        <v>0</v>
      </c>
      <c r="F7" s="7">
        <f t="shared" si="1"/>
        <v>0</v>
      </c>
      <c r="G7" s="7">
        <f t="shared" si="2"/>
        <v>0</v>
      </c>
      <c r="H7" s="288"/>
    </row>
    <row r="8" spans="1:8" ht="12.75">
      <c r="A8" s="21"/>
      <c r="B8" s="29"/>
      <c r="C8" s="29"/>
      <c r="D8" s="26"/>
      <c r="E8" s="7">
        <f t="shared" si="0"/>
        <v>0</v>
      </c>
      <c r="F8" s="7">
        <f t="shared" si="1"/>
        <v>0</v>
      </c>
      <c r="G8" s="7">
        <f t="shared" si="2"/>
        <v>0</v>
      </c>
      <c r="H8" s="288"/>
    </row>
    <row r="9" spans="1:8" ht="12.75">
      <c r="A9" s="21"/>
      <c r="B9" s="29"/>
      <c r="C9" s="29"/>
      <c r="D9" s="26"/>
      <c r="E9" s="7">
        <f t="shared" si="0"/>
        <v>0</v>
      </c>
      <c r="F9" s="7">
        <f t="shared" si="1"/>
        <v>0</v>
      </c>
      <c r="G9" s="7">
        <f t="shared" si="2"/>
        <v>0</v>
      </c>
      <c r="H9" s="288"/>
    </row>
    <row r="10" spans="1:8" ht="12.75">
      <c r="A10" s="21"/>
      <c r="B10" s="29"/>
      <c r="C10" s="29"/>
      <c r="D10" s="26"/>
      <c r="E10" s="7">
        <f t="shared" si="0"/>
        <v>0</v>
      </c>
      <c r="F10" s="7">
        <f t="shared" si="1"/>
        <v>0</v>
      </c>
      <c r="G10" s="7">
        <f t="shared" si="2"/>
        <v>0</v>
      </c>
      <c r="H10" s="288"/>
    </row>
    <row r="11" spans="1:8" ht="12.75">
      <c r="A11" s="21"/>
      <c r="B11" s="29"/>
      <c r="C11" s="29"/>
      <c r="D11" s="26"/>
      <c r="E11" s="7">
        <f t="shared" si="0"/>
        <v>0</v>
      </c>
      <c r="F11" s="7">
        <f t="shared" si="1"/>
        <v>0</v>
      </c>
      <c r="G11" s="7">
        <f t="shared" si="2"/>
        <v>0</v>
      </c>
      <c r="H11" s="288"/>
    </row>
    <row r="12" spans="1:8" ht="12.75">
      <c r="A12" s="21"/>
      <c r="B12" s="29"/>
      <c r="C12" s="29"/>
      <c r="D12" s="26"/>
      <c r="E12" s="7">
        <f t="shared" si="0"/>
        <v>0</v>
      </c>
      <c r="F12" s="7">
        <f t="shared" si="1"/>
        <v>0</v>
      </c>
      <c r="G12" s="7">
        <f t="shared" si="2"/>
        <v>0</v>
      </c>
      <c r="H12" s="288"/>
    </row>
    <row r="13" spans="1:8" ht="12.75">
      <c r="A13" s="21"/>
      <c r="B13" s="29"/>
      <c r="C13" s="29"/>
      <c r="D13" s="25"/>
      <c r="E13" s="7">
        <f t="shared" si="0"/>
        <v>0</v>
      </c>
      <c r="F13" s="7">
        <f t="shared" si="1"/>
        <v>0</v>
      </c>
      <c r="G13" s="7">
        <f t="shared" si="2"/>
        <v>0</v>
      </c>
      <c r="H13" s="288"/>
    </row>
    <row r="14" spans="1:8" ht="12.75">
      <c r="A14" s="21"/>
      <c r="B14" s="29"/>
      <c r="C14" s="29"/>
      <c r="D14" s="25"/>
      <c r="E14" s="7">
        <f t="shared" si="0"/>
        <v>0</v>
      </c>
      <c r="F14" s="7">
        <f t="shared" si="1"/>
        <v>0</v>
      </c>
      <c r="G14" s="7">
        <f t="shared" si="2"/>
        <v>0</v>
      </c>
      <c r="H14" s="288"/>
    </row>
    <row r="15" spans="1:8" ht="12.75">
      <c r="A15" s="21"/>
      <c r="B15" s="29"/>
      <c r="C15" s="29"/>
      <c r="D15" s="25"/>
      <c r="E15" s="7">
        <f t="shared" si="0"/>
        <v>0</v>
      </c>
      <c r="F15" s="7">
        <f t="shared" si="1"/>
        <v>0</v>
      </c>
      <c r="G15" s="7">
        <f t="shared" si="2"/>
        <v>0</v>
      </c>
      <c r="H15" s="288"/>
    </row>
    <row r="16" spans="1:8" ht="12.75">
      <c r="A16" s="21"/>
      <c r="B16" s="29"/>
      <c r="C16" s="29"/>
      <c r="D16" s="25"/>
      <c r="E16" s="7">
        <f t="shared" si="0"/>
        <v>0</v>
      </c>
      <c r="F16" s="7">
        <f t="shared" si="1"/>
        <v>0</v>
      </c>
      <c r="G16" s="7">
        <f t="shared" si="2"/>
        <v>0</v>
      </c>
      <c r="H16" s="288"/>
    </row>
    <row r="17" spans="1:8" ht="12.75">
      <c r="A17" s="21"/>
      <c r="B17" s="29"/>
      <c r="C17" s="29"/>
      <c r="D17" s="25"/>
      <c r="E17" s="7">
        <f t="shared" si="0"/>
        <v>0</v>
      </c>
      <c r="F17" s="7">
        <f t="shared" si="1"/>
        <v>0</v>
      </c>
      <c r="G17" s="7">
        <f t="shared" si="2"/>
        <v>0</v>
      </c>
      <c r="H17" s="288"/>
    </row>
    <row r="18" spans="1:8" ht="12.75">
      <c r="A18" s="21"/>
      <c r="B18" s="29"/>
      <c r="C18" s="29"/>
      <c r="D18" s="25"/>
      <c r="E18" s="7">
        <f t="shared" si="0"/>
        <v>0</v>
      </c>
      <c r="F18" s="7">
        <f t="shared" si="1"/>
        <v>0</v>
      </c>
      <c r="G18" s="7">
        <f t="shared" si="2"/>
        <v>0</v>
      </c>
      <c r="H18" s="288"/>
    </row>
    <row r="19" spans="1:8" ht="12.75">
      <c r="A19" s="21"/>
      <c r="B19" s="29"/>
      <c r="C19" s="29"/>
      <c r="D19" s="25"/>
      <c r="E19" s="7">
        <f t="shared" si="0"/>
        <v>0</v>
      </c>
      <c r="F19" s="7">
        <f t="shared" si="1"/>
        <v>0</v>
      </c>
      <c r="G19" s="7">
        <f t="shared" si="2"/>
        <v>0</v>
      </c>
      <c r="H19" s="288"/>
    </row>
    <row r="20" spans="1:8" ht="12.75">
      <c r="A20" s="21"/>
      <c r="B20" s="29"/>
      <c r="C20" s="29"/>
      <c r="D20" s="25"/>
      <c r="E20" s="7">
        <f t="shared" si="0"/>
        <v>0</v>
      </c>
      <c r="F20" s="7">
        <f t="shared" si="1"/>
        <v>0</v>
      </c>
      <c r="G20" s="7">
        <f t="shared" si="2"/>
        <v>0</v>
      </c>
      <c r="H20" s="288"/>
    </row>
    <row r="21" spans="1:8" ht="12.75">
      <c r="A21" s="78"/>
      <c r="B21" s="29"/>
      <c r="C21" s="29"/>
      <c r="D21" s="79"/>
      <c r="E21" s="7">
        <f>(B21*D21)</f>
        <v>0</v>
      </c>
      <c r="F21" s="7">
        <f>(C21*D21)</f>
        <v>0</v>
      </c>
      <c r="G21" s="7">
        <f>(E21+F21)</f>
        <v>0</v>
      </c>
      <c r="H21" s="288"/>
    </row>
    <row r="22" spans="1:8" ht="12.75">
      <c r="A22" s="78"/>
      <c r="B22" s="29"/>
      <c r="C22" s="29"/>
      <c r="D22" s="79"/>
      <c r="E22" s="7">
        <f>(B22*D22)</f>
        <v>0</v>
      </c>
      <c r="F22" s="7">
        <f>(C22*D22)</f>
        <v>0</v>
      </c>
      <c r="G22" s="7">
        <f>(E22+F22)</f>
        <v>0</v>
      </c>
      <c r="H22" s="288"/>
    </row>
    <row r="23" spans="1:8" ht="12.75">
      <c r="A23" s="78"/>
      <c r="B23" s="29"/>
      <c r="C23" s="29"/>
      <c r="D23" s="79"/>
      <c r="E23" s="7">
        <f>(B23*D23)</f>
        <v>0</v>
      </c>
      <c r="F23" s="7">
        <f>(C23*D23)</f>
        <v>0</v>
      </c>
      <c r="G23" s="7">
        <f>(E23+F23)</f>
        <v>0</v>
      </c>
      <c r="H23" s="288"/>
    </row>
    <row r="24" spans="1:8" ht="12.75">
      <c r="A24" s="78"/>
      <c r="B24" s="29"/>
      <c r="C24" s="29"/>
      <c r="D24" s="79"/>
      <c r="E24" s="7">
        <f>(B24*D24)</f>
        <v>0</v>
      </c>
      <c r="F24" s="7">
        <f>(C24*D24)</f>
        <v>0</v>
      </c>
      <c r="G24" s="7">
        <f>(E24+F24)</f>
        <v>0</v>
      </c>
      <c r="H24" s="288"/>
    </row>
    <row r="25" spans="1:8" ht="12.75">
      <c r="A25" s="78"/>
      <c r="B25" s="29"/>
      <c r="C25" s="29"/>
      <c r="D25" s="79"/>
      <c r="E25" s="7">
        <f>(B25*D25)</f>
        <v>0</v>
      </c>
      <c r="F25" s="7">
        <f>(C25*D25)</f>
        <v>0</v>
      </c>
      <c r="G25" s="7">
        <f>(E25+F25)</f>
        <v>0</v>
      </c>
      <c r="H25" s="288"/>
    </row>
    <row r="26" spans="1:8" ht="12.75">
      <c r="A26" s="277"/>
      <c r="B26" s="277"/>
      <c r="C26" s="277"/>
      <c r="D26" s="277"/>
      <c r="E26" s="277"/>
      <c r="F26" s="277"/>
      <c r="G26" s="277"/>
      <c r="H26" s="288"/>
    </row>
    <row r="27" spans="1:8" ht="15">
      <c r="A27" s="297" t="s">
        <v>154</v>
      </c>
      <c r="B27" s="298"/>
      <c r="C27" s="298"/>
      <c r="D27" s="299"/>
      <c r="E27" s="34">
        <f>SUM(E6:E25)</f>
        <v>0</v>
      </c>
      <c r="F27" s="34">
        <f>SUM(F6:F25)</f>
        <v>0</v>
      </c>
      <c r="G27" s="34">
        <f>(E27+F27)</f>
        <v>0</v>
      </c>
      <c r="H27" s="288"/>
    </row>
    <row r="28" spans="1:8" ht="15">
      <c r="A28" s="297" t="s">
        <v>27</v>
      </c>
      <c r="B28" s="298"/>
      <c r="C28" s="298"/>
      <c r="D28" s="299"/>
      <c r="E28" s="34">
        <f>E4</f>
        <v>0</v>
      </c>
      <c r="F28" s="34">
        <f>F4</f>
        <v>0</v>
      </c>
      <c r="G28" s="34">
        <f>E28+F28</f>
        <v>0</v>
      </c>
      <c r="H28" s="288"/>
    </row>
    <row r="29" spans="1:8" ht="15" customHeight="1">
      <c r="A29" s="300" t="s">
        <v>43</v>
      </c>
      <c r="B29" s="301"/>
      <c r="C29" s="301"/>
      <c r="D29" s="302"/>
      <c r="E29" s="47">
        <f>E27+E28</f>
        <v>0</v>
      </c>
      <c r="F29" s="47">
        <f>F27+F28</f>
        <v>0</v>
      </c>
      <c r="G29" s="47">
        <f>G27+G28</f>
        <v>0</v>
      </c>
      <c r="H29" s="288"/>
    </row>
    <row r="30" spans="1:8" ht="32.25" customHeight="1">
      <c r="A30" s="293" t="s">
        <v>86</v>
      </c>
      <c r="B30" s="294"/>
      <c r="C30" s="295"/>
      <c r="D30" s="25"/>
      <c r="E30" s="291"/>
      <c r="F30" s="292"/>
      <c r="G30" s="45">
        <f>(D30*D4)</f>
        <v>0</v>
      </c>
      <c r="H30" s="288"/>
    </row>
    <row r="31" spans="1:8" ht="11.25" customHeight="1">
      <c r="A31" s="290"/>
      <c r="B31" s="290"/>
      <c r="C31" s="290"/>
      <c r="D31" s="290"/>
      <c r="E31" s="290"/>
      <c r="F31" s="290"/>
      <c r="G31" s="290"/>
      <c r="H31" s="289"/>
    </row>
  </sheetData>
  <sheetProtection sheet="1"/>
  <mergeCells count="18">
    <mergeCell ref="H1:H31"/>
    <mergeCell ref="A31:G31"/>
    <mergeCell ref="I1:I2"/>
    <mergeCell ref="A30:C30"/>
    <mergeCell ref="A1:G1"/>
    <mergeCell ref="A2:A3"/>
    <mergeCell ref="B2:B3"/>
    <mergeCell ref="C2:C3"/>
    <mergeCell ref="D2:D3"/>
    <mergeCell ref="E2:E3"/>
    <mergeCell ref="F2:F3"/>
    <mergeCell ref="G2:G3"/>
    <mergeCell ref="A5:G5"/>
    <mergeCell ref="E30:F30"/>
    <mergeCell ref="A29:D29"/>
    <mergeCell ref="A26:G26"/>
    <mergeCell ref="A27:D27"/>
    <mergeCell ref="A28:D28"/>
  </mergeCells>
  <printOptions gridLines="1" verticalCentered="1"/>
  <pageMargins left="0" right="0" top="0" bottom="0" header="0" footer="0"/>
  <pageSetup blackAndWhite="1" horizontalDpi="300" verticalDpi="300" orientation="landscape" r:id="rId1"/>
</worksheet>
</file>

<file path=xl/worksheets/sheet8.xml><?xml version="1.0" encoding="utf-8"?>
<worksheet xmlns="http://schemas.openxmlformats.org/spreadsheetml/2006/main" xmlns:r="http://schemas.openxmlformats.org/officeDocument/2006/relationships">
  <sheetPr>
    <tabColor rgb="FF002060"/>
  </sheetPr>
  <dimension ref="A1:I31"/>
  <sheetViews>
    <sheetView zoomScalePageLayoutView="0" workbookViewId="0" topLeftCell="A1">
      <pane ySplit="4" topLeftCell="A5" activePane="bottomLeft" state="frozen"/>
      <selection pane="topLeft" activeCell="I39" sqref="I39"/>
      <selection pane="bottomLeft" activeCell="I21" sqref="I21"/>
    </sheetView>
  </sheetViews>
  <sheetFormatPr defaultColWidth="9.140625" defaultRowHeight="12.75"/>
  <cols>
    <col min="1" max="1" width="27.140625" style="0" customWidth="1"/>
    <col min="2" max="2" width="10.7109375" style="0" customWidth="1"/>
    <col min="3" max="3" width="11.8515625" style="0" customWidth="1"/>
    <col min="4" max="4" width="10.140625" style="0" customWidth="1"/>
    <col min="5" max="5" width="15.00390625" style="0" customWidth="1"/>
    <col min="6" max="6" width="12.421875" style="0" customWidth="1"/>
    <col min="7" max="7" width="13.140625" style="0" customWidth="1"/>
    <col min="8" max="8" width="2.28125" style="0" customWidth="1"/>
    <col min="9" max="9" width="21.7109375" style="0" customWidth="1"/>
  </cols>
  <sheetData>
    <row r="1" spans="1:9" ht="32.25" customHeight="1">
      <c r="A1" s="325" t="s">
        <v>36</v>
      </c>
      <c r="B1" s="325"/>
      <c r="C1" s="325"/>
      <c r="D1" s="325"/>
      <c r="E1" s="325"/>
      <c r="F1" s="325"/>
      <c r="G1" s="326"/>
      <c r="H1" s="287"/>
      <c r="I1" s="90" t="s">
        <v>167</v>
      </c>
    </row>
    <row r="2" spans="1:9" ht="35.25" customHeight="1">
      <c r="A2" s="106" t="s">
        <v>50</v>
      </c>
      <c r="B2" s="92" t="s">
        <v>73</v>
      </c>
      <c r="C2" s="92" t="s">
        <v>74</v>
      </c>
      <c r="D2" s="93" t="s">
        <v>18</v>
      </c>
      <c r="E2" s="92" t="s">
        <v>102</v>
      </c>
      <c r="F2" s="92" t="s">
        <v>103</v>
      </c>
      <c r="G2" s="93" t="s">
        <v>101</v>
      </c>
      <c r="H2" s="288"/>
      <c r="I2" s="89" t="s">
        <v>168</v>
      </c>
    </row>
    <row r="3" spans="1:9" ht="15" customHeight="1">
      <c r="A3" s="111" t="s">
        <v>19</v>
      </c>
      <c r="B3" s="47">
        <f>MACH1920!C142</f>
        <v>29.148</v>
      </c>
      <c r="C3" s="47">
        <f>MACH1920!D142</f>
        <v>5.5572</v>
      </c>
      <c r="D3" s="80">
        <f>SUM(D5:D25)</f>
        <v>0</v>
      </c>
      <c r="E3" s="47">
        <f>(B3*D3)</f>
        <v>0</v>
      </c>
      <c r="F3" s="47">
        <f>(C3*D3)</f>
        <v>0</v>
      </c>
      <c r="G3" s="74">
        <f>(E3+F3)</f>
        <v>0</v>
      </c>
      <c r="H3" s="288"/>
      <c r="I3" s="89"/>
    </row>
    <row r="4" spans="1:8" ht="12" customHeight="1">
      <c r="A4" s="307"/>
      <c r="B4" s="307"/>
      <c r="C4" s="307"/>
      <c r="D4" s="307"/>
      <c r="E4" s="307"/>
      <c r="F4" s="307"/>
      <c r="G4" s="307"/>
      <c r="H4" s="288"/>
    </row>
    <row r="5" spans="1:8" ht="12.75">
      <c r="A5" s="21"/>
      <c r="B5" s="29"/>
      <c r="C5" s="29"/>
      <c r="D5" s="26"/>
      <c r="E5" s="7">
        <f aca="true" t="shared" si="0" ref="E5:E19">(B5*D5)</f>
        <v>0</v>
      </c>
      <c r="F5" s="7">
        <f aca="true" t="shared" si="1" ref="F5:F19">(C5*D5)</f>
        <v>0</v>
      </c>
      <c r="G5" s="73">
        <f aca="true" t="shared" si="2" ref="G5:G19">(E5+F5)</f>
        <v>0</v>
      </c>
      <c r="H5" s="288"/>
    </row>
    <row r="6" spans="1:8" ht="12.75">
      <c r="A6" s="21"/>
      <c r="B6" s="29"/>
      <c r="C6" s="29"/>
      <c r="D6" s="26"/>
      <c r="E6" s="7">
        <f t="shared" si="0"/>
        <v>0</v>
      </c>
      <c r="F6" s="7">
        <f t="shared" si="1"/>
        <v>0</v>
      </c>
      <c r="G6" s="73">
        <f t="shared" si="2"/>
        <v>0</v>
      </c>
      <c r="H6" s="288"/>
    </row>
    <row r="7" spans="1:8" ht="12.75">
      <c r="A7" s="21"/>
      <c r="B7" s="29"/>
      <c r="C7" s="29"/>
      <c r="D7" s="26"/>
      <c r="E7" s="7">
        <f t="shared" si="0"/>
        <v>0</v>
      </c>
      <c r="F7" s="7">
        <f t="shared" si="1"/>
        <v>0</v>
      </c>
      <c r="G7" s="73">
        <f t="shared" si="2"/>
        <v>0</v>
      </c>
      <c r="H7" s="288"/>
    </row>
    <row r="8" spans="1:8" ht="12.75">
      <c r="A8" s="21"/>
      <c r="B8" s="29"/>
      <c r="C8" s="29"/>
      <c r="D8" s="26"/>
      <c r="E8" s="7">
        <f t="shared" si="0"/>
        <v>0</v>
      </c>
      <c r="F8" s="7">
        <f t="shared" si="1"/>
        <v>0</v>
      </c>
      <c r="G8" s="73">
        <f t="shared" si="2"/>
        <v>0</v>
      </c>
      <c r="H8" s="288"/>
    </row>
    <row r="9" spans="1:8" ht="12.75">
      <c r="A9" s="21"/>
      <c r="B9" s="29"/>
      <c r="C9" s="29"/>
      <c r="D9" s="26"/>
      <c r="E9" s="7">
        <f t="shared" si="0"/>
        <v>0</v>
      </c>
      <c r="F9" s="7">
        <f t="shared" si="1"/>
        <v>0</v>
      </c>
      <c r="G9" s="73">
        <f t="shared" si="2"/>
        <v>0</v>
      </c>
      <c r="H9" s="288"/>
    </row>
    <row r="10" spans="1:8" ht="12.75">
      <c r="A10" s="21"/>
      <c r="B10" s="29"/>
      <c r="C10" s="29"/>
      <c r="D10" s="26"/>
      <c r="E10" s="7">
        <f t="shared" si="0"/>
        <v>0</v>
      </c>
      <c r="F10" s="7">
        <f t="shared" si="1"/>
        <v>0</v>
      </c>
      <c r="G10" s="73">
        <f t="shared" si="2"/>
        <v>0</v>
      </c>
      <c r="H10" s="288"/>
    </row>
    <row r="11" spans="1:8" ht="12.75">
      <c r="A11" s="21"/>
      <c r="B11" s="29"/>
      <c r="C11" s="29"/>
      <c r="D11" s="26"/>
      <c r="E11" s="7">
        <f t="shared" si="0"/>
        <v>0</v>
      </c>
      <c r="F11" s="7">
        <f t="shared" si="1"/>
        <v>0</v>
      </c>
      <c r="G11" s="73">
        <f t="shared" si="2"/>
        <v>0</v>
      </c>
      <c r="H11" s="288"/>
    </row>
    <row r="12" spans="1:8" ht="12.75">
      <c r="A12" s="21"/>
      <c r="B12" s="29"/>
      <c r="C12" s="29"/>
      <c r="D12" s="25"/>
      <c r="E12" s="7">
        <f t="shared" si="0"/>
        <v>0</v>
      </c>
      <c r="F12" s="7">
        <f t="shared" si="1"/>
        <v>0</v>
      </c>
      <c r="G12" s="73">
        <f t="shared" si="2"/>
        <v>0</v>
      </c>
      <c r="H12" s="288"/>
    </row>
    <row r="13" spans="1:8" ht="12.75">
      <c r="A13" s="21"/>
      <c r="B13" s="29"/>
      <c r="C13" s="29"/>
      <c r="D13" s="25"/>
      <c r="E13" s="7">
        <f t="shared" si="0"/>
        <v>0</v>
      </c>
      <c r="F13" s="7">
        <f t="shared" si="1"/>
        <v>0</v>
      </c>
      <c r="G13" s="73">
        <f t="shared" si="2"/>
        <v>0</v>
      </c>
      <c r="H13" s="288"/>
    </row>
    <row r="14" spans="1:8" ht="12.75">
      <c r="A14" s="21"/>
      <c r="B14" s="29"/>
      <c r="C14" s="29"/>
      <c r="D14" s="25"/>
      <c r="E14" s="7">
        <f t="shared" si="0"/>
        <v>0</v>
      </c>
      <c r="F14" s="7">
        <f t="shared" si="1"/>
        <v>0</v>
      </c>
      <c r="G14" s="73">
        <f t="shared" si="2"/>
        <v>0</v>
      </c>
      <c r="H14" s="288"/>
    </row>
    <row r="15" spans="1:8" ht="12.75">
      <c r="A15" s="21"/>
      <c r="B15" s="29"/>
      <c r="C15" s="29"/>
      <c r="D15" s="25"/>
      <c r="E15" s="7">
        <f t="shared" si="0"/>
        <v>0</v>
      </c>
      <c r="F15" s="7">
        <f t="shared" si="1"/>
        <v>0</v>
      </c>
      <c r="G15" s="73">
        <f t="shared" si="2"/>
        <v>0</v>
      </c>
      <c r="H15" s="288"/>
    </row>
    <row r="16" spans="1:8" ht="12.75">
      <c r="A16" s="21"/>
      <c r="B16" s="29"/>
      <c r="C16" s="29"/>
      <c r="D16" s="25"/>
      <c r="E16" s="7">
        <f t="shared" si="0"/>
        <v>0</v>
      </c>
      <c r="F16" s="7">
        <f t="shared" si="1"/>
        <v>0</v>
      </c>
      <c r="G16" s="73">
        <f t="shared" si="2"/>
        <v>0</v>
      </c>
      <c r="H16" s="288"/>
    </row>
    <row r="17" spans="1:8" ht="12.75">
      <c r="A17" s="21"/>
      <c r="B17" s="29"/>
      <c r="C17" s="29"/>
      <c r="D17" s="25"/>
      <c r="E17" s="7">
        <f t="shared" si="0"/>
        <v>0</v>
      </c>
      <c r="F17" s="7">
        <f t="shared" si="1"/>
        <v>0</v>
      </c>
      <c r="G17" s="73">
        <f t="shared" si="2"/>
        <v>0</v>
      </c>
      <c r="H17" s="288"/>
    </row>
    <row r="18" spans="1:8" ht="12.75">
      <c r="A18" s="21"/>
      <c r="B18" s="29"/>
      <c r="C18" s="29"/>
      <c r="D18" s="25"/>
      <c r="E18" s="7">
        <f t="shared" si="0"/>
        <v>0</v>
      </c>
      <c r="F18" s="7">
        <f t="shared" si="1"/>
        <v>0</v>
      </c>
      <c r="G18" s="73">
        <f t="shared" si="2"/>
        <v>0</v>
      </c>
      <c r="H18" s="288"/>
    </row>
    <row r="19" spans="1:8" ht="12.75">
      <c r="A19" s="21"/>
      <c r="B19" s="29"/>
      <c r="C19" s="29"/>
      <c r="D19" s="25"/>
      <c r="E19" s="7">
        <f t="shared" si="0"/>
        <v>0</v>
      </c>
      <c r="F19" s="7">
        <f t="shared" si="1"/>
        <v>0</v>
      </c>
      <c r="G19" s="73">
        <f t="shared" si="2"/>
        <v>0</v>
      </c>
      <c r="H19" s="288"/>
    </row>
    <row r="20" spans="1:8" ht="12.75">
      <c r="A20" s="78"/>
      <c r="B20" s="29"/>
      <c r="C20" s="29"/>
      <c r="D20" s="79"/>
      <c r="E20" s="7">
        <f aca="true" t="shared" si="3" ref="E20:E25">(B20*D20)</f>
        <v>0</v>
      </c>
      <c r="F20" s="7">
        <f aca="true" t="shared" si="4" ref="F20:F25">(C20*D20)</f>
        <v>0</v>
      </c>
      <c r="G20" s="73">
        <f aca="true" t="shared" si="5" ref="G20:G25">(E20+F20)</f>
        <v>0</v>
      </c>
      <c r="H20" s="288"/>
    </row>
    <row r="21" spans="1:8" ht="12.75">
      <c r="A21" s="78"/>
      <c r="B21" s="29"/>
      <c r="C21" s="29"/>
      <c r="D21" s="79"/>
      <c r="E21" s="7">
        <f t="shared" si="3"/>
        <v>0</v>
      </c>
      <c r="F21" s="7">
        <f t="shared" si="4"/>
        <v>0</v>
      </c>
      <c r="G21" s="73">
        <f t="shared" si="5"/>
        <v>0</v>
      </c>
      <c r="H21" s="288"/>
    </row>
    <row r="22" spans="1:8" ht="12.75">
      <c r="A22" s="78"/>
      <c r="B22" s="29"/>
      <c r="C22" s="29"/>
      <c r="D22" s="79"/>
      <c r="E22" s="7">
        <f t="shared" si="3"/>
        <v>0</v>
      </c>
      <c r="F22" s="7">
        <f t="shared" si="4"/>
        <v>0</v>
      </c>
      <c r="G22" s="73">
        <f t="shared" si="5"/>
        <v>0</v>
      </c>
      <c r="H22" s="288"/>
    </row>
    <row r="23" spans="1:8" ht="12.75">
      <c r="A23" s="78"/>
      <c r="B23" s="29"/>
      <c r="C23" s="29"/>
      <c r="D23" s="79"/>
      <c r="E23" s="7">
        <f t="shared" si="3"/>
        <v>0</v>
      </c>
      <c r="F23" s="7">
        <f t="shared" si="4"/>
        <v>0</v>
      </c>
      <c r="G23" s="73">
        <f t="shared" si="5"/>
        <v>0</v>
      </c>
      <c r="H23" s="288"/>
    </row>
    <row r="24" spans="1:8" ht="12.75">
      <c r="A24" s="78"/>
      <c r="B24" s="29"/>
      <c r="C24" s="29"/>
      <c r="D24" s="79"/>
      <c r="E24" s="7">
        <f t="shared" si="3"/>
        <v>0</v>
      </c>
      <c r="F24" s="7">
        <f t="shared" si="4"/>
        <v>0</v>
      </c>
      <c r="G24" s="73">
        <f t="shared" si="5"/>
        <v>0</v>
      </c>
      <c r="H24" s="288"/>
    </row>
    <row r="25" spans="1:8" ht="12.75">
      <c r="A25" s="78"/>
      <c r="B25" s="29"/>
      <c r="C25" s="29"/>
      <c r="D25" s="79"/>
      <c r="E25" s="7">
        <f t="shared" si="3"/>
        <v>0</v>
      </c>
      <c r="F25" s="7">
        <f t="shared" si="4"/>
        <v>0</v>
      </c>
      <c r="G25" s="73">
        <f t="shared" si="5"/>
        <v>0</v>
      </c>
      <c r="H25" s="288"/>
    </row>
    <row r="26" spans="1:8" ht="11.25" customHeight="1">
      <c r="A26" s="277"/>
      <c r="B26" s="277"/>
      <c r="C26" s="277"/>
      <c r="D26" s="277"/>
      <c r="E26" s="277"/>
      <c r="F26" s="277"/>
      <c r="G26" s="277"/>
      <c r="H26" s="288"/>
    </row>
    <row r="27" spans="1:8" ht="15">
      <c r="A27" s="297" t="s">
        <v>154</v>
      </c>
      <c r="B27" s="298"/>
      <c r="C27" s="298"/>
      <c r="D27" s="299"/>
      <c r="E27" s="34">
        <f>SUM(E5:E25)</f>
        <v>0</v>
      </c>
      <c r="F27" s="34">
        <f>SUM(F5:F25)</f>
        <v>0</v>
      </c>
      <c r="G27" s="75">
        <f>(E27+F27)</f>
        <v>0</v>
      </c>
      <c r="H27" s="288"/>
    </row>
    <row r="28" spans="1:8" ht="15">
      <c r="A28" s="297" t="s">
        <v>27</v>
      </c>
      <c r="B28" s="298"/>
      <c r="C28" s="298"/>
      <c r="D28" s="299"/>
      <c r="E28" s="34">
        <f>E3</f>
        <v>0</v>
      </c>
      <c r="F28" s="34">
        <f>F3</f>
        <v>0</v>
      </c>
      <c r="G28" s="75">
        <f>E28+F28</f>
        <v>0</v>
      </c>
      <c r="H28" s="288"/>
    </row>
    <row r="29" spans="1:8" ht="15" customHeight="1">
      <c r="A29" s="300" t="s">
        <v>43</v>
      </c>
      <c r="B29" s="301"/>
      <c r="C29" s="301"/>
      <c r="D29" s="302"/>
      <c r="E29" s="47">
        <f>E27+E28</f>
        <v>0</v>
      </c>
      <c r="F29" s="47">
        <f>F27+F28</f>
        <v>0</v>
      </c>
      <c r="G29" s="74">
        <f>G27+G28</f>
        <v>0</v>
      </c>
      <c r="H29" s="288"/>
    </row>
    <row r="30" spans="1:8" ht="33.75" customHeight="1">
      <c r="A30" s="293" t="s">
        <v>86</v>
      </c>
      <c r="B30" s="294"/>
      <c r="C30" s="295"/>
      <c r="D30" s="25"/>
      <c r="E30" s="319"/>
      <c r="F30" s="320"/>
      <c r="G30" s="74">
        <f>(D30*D3)</f>
        <v>0</v>
      </c>
      <c r="H30" s="288"/>
    </row>
    <row r="31" spans="1:8" ht="9.75" customHeight="1">
      <c r="A31" s="290"/>
      <c r="B31" s="290"/>
      <c r="C31" s="290"/>
      <c r="D31" s="290"/>
      <c r="E31" s="290"/>
      <c r="F31" s="290"/>
      <c r="G31" s="290"/>
      <c r="H31" s="289"/>
    </row>
  </sheetData>
  <sheetProtection sheet="1"/>
  <mergeCells count="10">
    <mergeCell ref="H1:H31"/>
    <mergeCell ref="A31:G31"/>
    <mergeCell ref="E30:F30"/>
    <mergeCell ref="A1:G1"/>
    <mergeCell ref="A27:D27"/>
    <mergeCell ref="A28:D28"/>
    <mergeCell ref="A29:D29"/>
    <mergeCell ref="A30:C30"/>
    <mergeCell ref="A26:G26"/>
    <mergeCell ref="A4:G4"/>
  </mergeCells>
  <printOptions gridLines="1" verticalCentered="1"/>
  <pageMargins left="0" right="0" top="0" bottom="0" header="0" footer="0"/>
  <pageSetup blackAndWhite="1" horizontalDpi="300" verticalDpi="300" orientation="landscape" r:id="rId1"/>
</worksheet>
</file>

<file path=xl/worksheets/sheet9.xml><?xml version="1.0" encoding="utf-8"?>
<worksheet xmlns="http://schemas.openxmlformats.org/spreadsheetml/2006/main" xmlns:r="http://schemas.openxmlformats.org/officeDocument/2006/relationships">
  <sheetPr>
    <tabColor rgb="FF002060"/>
  </sheetPr>
  <dimension ref="A1:I31"/>
  <sheetViews>
    <sheetView zoomScalePageLayoutView="0" workbookViewId="0" topLeftCell="A1">
      <pane ySplit="5" topLeftCell="A6" activePane="bottomLeft" state="frozen"/>
      <selection pane="topLeft" activeCell="I39" sqref="I39"/>
      <selection pane="bottomLeft" activeCell="C14" sqref="C14"/>
    </sheetView>
  </sheetViews>
  <sheetFormatPr defaultColWidth="9.140625" defaultRowHeight="12.75"/>
  <cols>
    <col min="1" max="1" width="29.7109375" style="0" customWidth="1"/>
    <col min="2" max="2" width="10.00390625" style="0" customWidth="1"/>
    <col min="4" max="4" width="10.7109375" style="0" customWidth="1"/>
    <col min="5" max="5" width="16.421875" style="0" customWidth="1"/>
    <col min="6" max="6" width="12.57421875" style="0" customWidth="1"/>
    <col min="7" max="7" width="12.8515625" style="0" customWidth="1"/>
    <col min="8" max="8" width="2.57421875" style="0" customWidth="1"/>
    <col min="9" max="9" width="24.7109375" style="0" customWidth="1"/>
    <col min="10" max="10" width="2.140625" style="0" customWidth="1"/>
    <col min="11" max="11" width="1.421875" style="0" customWidth="1"/>
    <col min="12" max="12" width="0.42578125" style="0" customWidth="1"/>
  </cols>
  <sheetData>
    <row r="1" spans="1:9" ht="35.25" customHeight="1">
      <c r="A1" s="325" t="s">
        <v>110</v>
      </c>
      <c r="B1" s="338"/>
      <c r="C1" s="338"/>
      <c r="D1" s="338"/>
      <c r="E1" s="338"/>
      <c r="F1" s="338"/>
      <c r="G1" s="338"/>
      <c r="H1" s="288"/>
      <c r="I1" s="90" t="s">
        <v>167</v>
      </c>
    </row>
    <row r="2" spans="1:9" ht="12.75" customHeight="1">
      <c r="A2" s="305" t="s">
        <v>50</v>
      </c>
      <c r="B2" s="308" t="s">
        <v>71</v>
      </c>
      <c r="C2" s="308" t="s">
        <v>72</v>
      </c>
      <c r="D2" s="308" t="s">
        <v>13</v>
      </c>
      <c r="E2" s="308" t="s">
        <v>102</v>
      </c>
      <c r="F2" s="308" t="s">
        <v>103</v>
      </c>
      <c r="G2" s="308" t="s">
        <v>101</v>
      </c>
      <c r="H2" s="288"/>
      <c r="I2" s="296" t="s">
        <v>168</v>
      </c>
    </row>
    <row r="3" spans="1:9" ht="24.75" customHeight="1">
      <c r="A3" s="306"/>
      <c r="B3" s="309"/>
      <c r="C3" s="313"/>
      <c r="D3" s="313"/>
      <c r="E3" s="309"/>
      <c r="F3" s="309"/>
      <c r="G3" s="309"/>
      <c r="H3" s="288"/>
      <c r="I3" s="296"/>
    </row>
    <row r="4" spans="1:9" ht="18.75" customHeight="1">
      <c r="A4" s="110" t="s">
        <v>111</v>
      </c>
      <c r="B4" s="47">
        <f>MACH1920!C145</f>
        <v>36.82</v>
      </c>
      <c r="C4" s="47">
        <f>MACH1920!D145</f>
        <v>7.563600000000001</v>
      </c>
      <c r="D4" s="80">
        <f>SUM(D6:D25)</f>
        <v>11.059999999999999</v>
      </c>
      <c r="E4" s="47">
        <f>(B4*D4)</f>
        <v>407.22919999999993</v>
      </c>
      <c r="F4" s="47">
        <f>(C4*D4)</f>
        <v>83.653416</v>
      </c>
      <c r="G4" s="47">
        <f>E4+F4</f>
        <v>490.8826159999999</v>
      </c>
      <c r="H4" s="288"/>
      <c r="I4" s="91"/>
    </row>
    <row r="5" spans="1:8" ht="15">
      <c r="A5" s="307"/>
      <c r="B5" s="307"/>
      <c r="C5" s="307"/>
      <c r="D5" s="307"/>
      <c r="E5" s="307"/>
      <c r="F5" s="307"/>
      <c r="G5" s="307"/>
      <c r="H5" s="288"/>
    </row>
    <row r="6" spans="1:8" ht="12.75">
      <c r="A6" s="78" t="s">
        <v>367</v>
      </c>
      <c r="B6" s="29">
        <v>5.194</v>
      </c>
      <c r="C6" s="29">
        <v>2.706</v>
      </c>
      <c r="D6" s="32">
        <v>1.52</v>
      </c>
      <c r="E6" s="7">
        <f aca="true" t="shared" si="0" ref="E6:E22">(B6*D6)</f>
        <v>7.89488</v>
      </c>
      <c r="F6" s="7">
        <f aca="true" t="shared" si="1" ref="F6:F22">(C6*D6)</f>
        <v>4.11312</v>
      </c>
      <c r="G6" s="7">
        <f aca="true" t="shared" si="2" ref="G6:G22">(E6+F6)</f>
        <v>12.008</v>
      </c>
      <c r="H6" s="288"/>
    </row>
    <row r="7" spans="1:8" ht="12.75">
      <c r="A7" s="78" t="s">
        <v>368</v>
      </c>
      <c r="B7" s="29">
        <v>4.116</v>
      </c>
      <c r="C7" s="29">
        <v>5.3196</v>
      </c>
      <c r="D7" s="32">
        <v>1.33</v>
      </c>
      <c r="E7" s="7">
        <f t="shared" si="0"/>
        <v>5.47428</v>
      </c>
      <c r="F7" s="7">
        <f t="shared" si="1"/>
        <v>7.075068000000001</v>
      </c>
      <c r="G7" s="7">
        <f t="shared" si="2"/>
        <v>12.549348000000002</v>
      </c>
      <c r="H7" s="288"/>
    </row>
    <row r="8" spans="1:8" ht="12.75">
      <c r="A8" s="78" t="s">
        <v>119</v>
      </c>
      <c r="B8" s="29">
        <v>7.545999999999999</v>
      </c>
      <c r="C8" s="29">
        <v>9.768</v>
      </c>
      <c r="D8" s="32">
        <v>4.2</v>
      </c>
      <c r="E8" s="7">
        <f t="shared" si="0"/>
        <v>31.693199999999997</v>
      </c>
      <c r="F8" s="7">
        <f t="shared" si="1"/>
        <v>41.025600000000004</v>
      </c>
      <c r="G8" s="7">
        <f t="shared" si="2"/>
        <v>72.7188</v>
      </c>
      <c r="H8" s="288"/>
    </row>
    <row r="9" spans="1:8" ht="12.75">
      <c r="A9" s="21" t="s">
        <v>369</v>
      </c>
      <c r="B9" s="29">
        <v>15.134</v>
      </c>
      <c r="C9" s="29">
        <v>9.3984</v>
      </c>
      <c r="D9" s="32">
        <v>0.5</v>
      </c>
      <c r="E9" s="7">
        <f t="shared" si="0"/>
        <v>7.567</v>
      </c>
      <c r="F9" s="7">
        <f t="shared" si="1"/>
        <v>4.6992</v>
      </c>
      <c r="G9" s="7">
        <f t="shared" si="2"/>
        <v>12.266200000000001</v>
      </c>
      <c r="H9" s="288"/>
    </row>
    <row r="10" spans="1:8" ht="12.75">
      <c r="A10" s="21" t="s">
        <v>370</v>
      </c>
      <c r="B10" s="29">
        <v>3.8919999999999995</v>
      </c>
      <c r="C10" s="29">
        <v>4.95</v>
      </c>
      <c r="D10" s="32">
        <v>0.14</v>
      </c>
      <c r="E10" s="7">
        <f t="shared" si="0"/>
        <v>0.54488</v>
      </c>
      <c r="F10" s="7">
        <f t="shared" si="1"/>
        <v>0.6930000000000001</v>
      </c>
      <c r="G10" s="7">
        <f t="shared" si="2"/>
        <v>1.23788</v>
      </c>
      <c r="H10" s="288"/>
    </row>
    <row r="11" spans="1:8" ht="12.75">
      <c r="A11" s="21" t="s">
        <v>371</v>
      </c>
      <c r="B11" s="29">
        <v>6.356</v>
      </c>
      <c r="C11" s="29">
        <v>12.606000000000002</v>
      </c>
      <c r="D11" s="32">
        <v>1.52</v>
      </c>
      <c r="E11" s="7">
        <f t="shared" si="0"/>
        <v>9.66112</v>
      </c>
      <c r="F11" s="7">
        <f t="shared" si="1"/>
        <v>19.161120000000004</v>
      </c>
      <c r="G11" s="7">
        <f t="shared" si="2"/>
        <v>28.822240000000004</v>
      </c>
      <c r="H11" s="288"/>
    </row>
    <row r="12" spans="1:8" ht="12.75">
      <c r="A12" s="21" t="s">
        <v>121</v>
      </c>
      <c r="B12" s="29">
        <v>2.268</v>
      </c>
      <c r="C12" s="29">
        <v>8.3556</v>
      </c>
      <c r="D12" s="32">
        <v>1.2</v>
      </c>
      <c r="E12" s="7">
        <f t="shared" si="0"/>
        <v>2.7215999999999996</v>
      </c>
      <c r="F12" s="7">
        <f t="shared" si="1"/>
        <v>10.026720000000001</v>
      </c>
      <c r="G12" s="7">
        <f t="shared" si="2"/>
        <v>12.74832</v>
      </c>
      <c r="H12" s="288"/>
    </row>
    <row r="13" spans="1:8" ht="12.75">
      <c r="A13" s="78" t="s">
        <v>122</v>
      </c>
      <c r="B13" s="29">
        <v>0.46199999999999997</v>
      </c>
      <c r="C13" s="29">
        <v>1.7952000000000001</v>
      </c>
      <c r="D13" s="32">
        <v>0.29</v>
      </c>
      <c r="E13" s="7">
        <f t="shared" si="0"/>
        <v>0.13398</v>
      </c>
      <c r="F13" s="7">
        <f t="shared" si="1"/>
        <v>0.520608</v>
      </c>
      <c r="G13" s="7">
        <f t="shared" si="2"/>
        <v>0.654588</v>
      </c>
      <c r="H13" s="288"/>
    </row>
    <row r="14" spans="1:8" ht="12.75">
      <c r="A14" s="21" t="s">
        <v>372</v>
      </c>
      <c r="B14" s="29">
        <v>0.252</v>
      </c>
      <c r="C14" s="29">
        <v>1.122</v>
      </c>
      <c r="D14" s="32">
        <v>0.36</v>
      </c>
      <c r="E14" s="7">
        <f t="shared" si="0"/>
        <v>0.09072</v>
      </c>
      <c r="F14" s="7">
        <f t="shared" si="1"/>
        <v>0.40392</v>
      </c>
      <c r="G14" s="7">
        <f t="shared" si="2"/>
        <v>0.49463999999999997</v>
      </c>
      <c r="H14" s="288"/>
    </row>
    <row r="15" spans="1:8" ht="12.75">
      <c r="A15" s="21"/>
      <c r="B15" s="29"/>
      <c r="C15" s="29"/>
      <c r="D15" s="25"/>
      <c r="E15" s="7">
        <f t="shared" si="0"/>
        <v>0</v>
      </c>
      <c r="F15" s="7">
        <f t="shared" si="1"/>
        <v>0</v>
      </c>
      <c r="G15" s="7">
        <f t="shared" si="2"/>
        <v>0</v>
      </c>
      <c r="H15" s="288"/>
    </row>
    <row r="16" spans="1:8" ht="12.75">
      <c r="A16" s="21"/>
      <c r="B16" s="29"/>
      <c r="C16" s="29"/>
      <c r="D16" s="25"/>
      <c r="E16" s="7">
        <f t="shared" si="0"/>
        <v>0</v>
      </c>
      <c r="F16" s="7">
        <f t="shared" si="1"/>
        <v>0</v>
      </c>
      <c r="G16" s="7">
        <f t="shared" si="2"/>
        <v>0</v>
      </c>
      <c r="H16" s="288"/>
    </row>
    <row r="17" spans="1:8" ht="12.75">
      <c r="A17" s="21"/>
      <c r="B17" s="29"/>
      <c r="C17" s="29"/>
      <c r="D17" s="25"/>
      <c r="E17" s="7">
        <f t="shared" si="0"/>
        <v>0</v>
      </c>
      <c r="F17" s="7">
        <f t="shared" si="1"/>
        <v>0</v>
      </c>
      <c r="G17" s="7">
        <f t="shared" si="2"/>
        <v>0</v>
      </c>
      <c r="H17" s="288"/>
    </row>
    <row r="18" spans="1:8" ht="12.75">
      <c r="A18" s="21"/>
      <c r="B18" s="29"/>
      <c r="C18" s="29"/>
      <c r="D18" s="25"/>
      <c r="E18" s="7">
        <f t="shared" si="0"/>
        <v>0</v>
      </c>
      <c r="F18" s="7">
        <f t="shared" si="1"/>
        <v>0</v>
      </c>
      <c r="G18" s="7">
        <f t="shared" si="2"/>
        <v>0</v>
      </c>
      <c r="H18" s="288"/>
    </row>
    <row r="19" spans="1:8" ht="12.75">
      <c r="A19" s="21"/>
      <c r="B19" s="29"/>
      <c r="C19" s="29"/>
      <c r="D19" s="25"/>
      <c r="E19" s="7">
        <f t="shared" si="0"/>
        <v>0</v>
      </c>
      <c r="F19" s="7">
        <f t="shared" si="1"/>
        <v>0</v>
      </c>
      <c r="G19" s="7">
        <f t="shared" si="2"/>
        <v>0</v>
      </c>
      <c r="H19" s="288"/>
    </row>
    <row r="20" spans="1:8" ht="12.75">
      <c r="A20" s="21"/>
      <c r="B20" s="29"/>
      <c r="C20" s="29"/>
      <c r="D20" s="25"/>
      <c r="E20" s="7">
        <f t="shared" si="0"/>
        <v>0</v>
      </c>
      <c r="F20" s="7">
        <f t="shared" si="1"/>
        <v>0</v>
      </c>
      <c r="G20" s="7">
        <f t="shared" si="2"/>
        <v>0</v>
      </c>
      <c r="H20" s="288"/>
    </row>
    <row r="21" spans="1:8" ht="12.75">
      <c r="A21" s="21"/>
      <c r="B21" s="29"/>
      <c r="C21" s="29"/>
      <c r="D21" s="25"/>
      <c r="E21" s="7">
        <f t="shared" si="0"/>
        <v>0</v>
      </c>
      <c r="F21" s="7">
        <f t="shared" si="1"/>
        <v>0</v>
      </c>
      <c r="G21" s="7">
        <f t="shared" si="2"/>
        <v>0</v>
      </c>
      <c r="H21" s="288"/>
    </row>
    <row r="22" spans="1:8" ht="12.75">
      <c r="A22" s="21"/>
      <c r="B22" s="29"/>
      <c r="C22" s="29"/>
      <c r="D22" s="25"/>
      <c r="E22" s="7">
        <f t="shared" si="0"/>
        <v>0</v>
      </c>
      <c r="F22" s="7">
        <f t="shared" si="1"/>
        <v>0</v>
      </c>
      <c r="G22" s="7">
        <f t="shared" si="2"/>
        <v>0</v>
      </c>
      <c r="H22" s="288"/>
    </row>
    <row r="23" spans="1:8" ht="12.75">
      <c r="A23" s="78"/>
      <c r="B23" s="29"/>
      <c r="C23" s="29"/>
      <c r="D23" s="79"/>
      <c r="E23" s="7">
        <f>(B23*D23)</f>
        <v>0</v>
      </c>
      <c r="F23" s="7">
        <f>(C23*D23)</f>
        <v>0</v>
      </c>
      <c r="G23" s="7">
        <f>(E23+F23)</f>
        <v>0</v>
      </c>
      <c r="H23" s="288"/>
    </row>
    <row r="24" spans="1:8" ht="12.75">
      <c r="A24" s="78"/>
      <c r="B24" s="29"/>
      <c r="C24" s="29"/>
      <c r="D24" s="79"/>
      <c r="E24" s="7">
        <f>(B24*D24)</f>
        <v>0</v>
      </c>
      <c r="F24" s="7">
        <f>(C24*D24)</f>
        <v>0</v>
      </c>
      <c r="G24" s="7">
        <f>(E24+F24)</f>
        <v>0</v>
      </c>
      <c r="H24" s="288"/>
    </row>
    <row r="25" spans="1:8" ht="12.75">
      <c r="A25" s="78"/>
      <c r="B25" s="29"/>
      <c r="C25" s="29"/>
      <c r="D25" s="79"/>
      <c r="E25" s="7">
        <f>(B25*D25)</f>
        <v>0</v>
      </c>
      <c r="F25" s="7">
        <f>(C25*D25)</f>
        <v>0</v>
      </c>
      <c r="G25" s="7">
        <f>(E25+F25)</f>
        <v>0</v>
      </c>
      <c r="H25" s="288"/>
    </row>
    <row r="26" spans="1:8" ht="12.75">
      <c r="A26" s="277"/>
      <c r="B26" s="277"/>
      <c r="C26" s="277"/>
      <c r="D26" s="277"/>
      <c r="E26" s="277"/>
      <c r="F26" s="277"/>
      <c r="G26" s="277"/>
      <c r="H26" s="288"/>
    </row>
    <row r="27" spans="1:8" ht="15">
      <c r="A27" s="297" t="s">
        <v>154</v>
      </c>
      <c r="B27" s="298"/>
      <c r="C27" s="298"/>
      <c r="D27" s="299"/>
      <c r="E27" s="34">
        <f>SUM(E6:E25)</f>
        <v>65.78165999999999</v>
      </c>
      <c r="F27" s="34">
        <f>SUM(F6:F25)</f>
        <v>87.718356</v>
      </c>
      <c r="G27" s="34">
        <f>(E27+F27)</f>
        <v>153.500016</v>
      </c>
      <c r="H27" s="288"/>
    </row>
    <row r="28" spans="1:8" ht="15">
      <c r="A28" s="297" t="s">
        <v>27</v>
      </c>
      <c r="B28" s="298"/>
      <c r="C28" s="298"/>
      <c r="D28" s="299"/>
      <c r="E28" s="34">
        <f>E4</f>
        <v>407.22919999999993</v>
      </c>
      <c r="F28" s="34">
        <f>F4</f>
        <v>83.653416</v>
      </c>
      <c r="G28" s="34">
        <f>E28+F28</f>
        <v>490.8826159999999</v>
      </c>
      <c r="H28" s="288"/>
    </row>
    <row r="29" spans="1:8" ht="15" customHeight="1">
      <c r="A29" s="300" t="s">
        <v>43</v>
      </c>
      <c r="B29" s="301"/>
      <c r="C29" s="301"/>
      <c r="D29" s="302"/>
      <c r="E29" s="47">
        <f>E27+E28</f>
        <v>473.0108599999999</v>
      </c>
      <c r="F29" s="47">
        <f>F27+F28</f>
        <v>171.37177200000002</v>
      </c>
      <c r="G29" s="47">
        <f>G27+G28</f>
        <v>644.382632</v>
      </c>
      <c r="H29" s="288"/>
    </row>
    <row r="30" spans="1:8" ht="33.75" customHeight="1">
      <c r="A30" s="293" t="s">
        <v>86</v>
      </c>
      <c r="B30" s="294"/>
      <c r="C30" s="295"/>
      <c r="D30" s="174">
        <v>20</v>
      </c>
      <c r="E30" s="319"/>
      <c r="F30" s="320"/>
      <c r="G30" s="47">
        <f>(D30*D4)</f>
        <v>221.2</v>
      </c>
      <c r="H30" s="288"/>
    </row>
    <row r="31" spans="1:8" ht="12.75">
      <c r="A31" s="290"/>
      <c r="B31" s="290"/>
      <c r="C31" s="290"/>
      <c r="D31" s="290"/>
      <c r="E31" s="290"/>
      <c r="F31" s="290"/>
      <c r="G31" s="290"/>
      <c r="H31" s="289"/>
    </row>
  </sheetData>
  <sheetProtection sheet="1"/>
  <mergeCells count="18">
    <mergeCell ref="A30:C30"/>
    <mergeCell ref="A5:G5"/>
    <mergeCell ref="A1:G1"/>
    <mergeCell ref="A2:A3"/>
    <mergeCell ref="B2:B3"/>
    <mergeCell ref="C2:C3"/>
    <mergeCell ref="D2:D3"/>
    <mergeCell ref="E2:E3"/>
    <mergeCell ref="I2:I3"/>
    <mergeCell ref="A27:D27"/>
    <mergeCell ref="A28:D28"/>
    <mergeCell ref="A29:D29"/>
    <mergeCell ref="F2:F3"/>
    <mergeCell ref="G2:G3"/>
    <mergeCell ref="A26:G26"/>
    <mergeCell ref="H1:H31"/>
    <mergeCell ref="A31:G31"/>
    <mergeCell ref="E30:F30"/>
  </mergeCells>
  <printOptions gridLines="1" verticalCentered="1"/>
  <pageMargins left="0" right="0" top="0" bottom="0" header="0" footer="0"/>
  <pageSetup blackAndWhite="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NFREC /IFAS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A. Smith</dc:creator>
  <cp:keywords/>
  <dc:description/>
  <cp:lastModifiedBy>HYMAN,BARBARA R</cp:lastModifiedBy>
  <cp:lastPrinted>2020-05-11T17:52:01Z</cp:lastPrinted>
  <dcterms:created xsi:type="dcterms:W3CDTF">1999-10-01T14:53:05Z</dcterms:created>
  <dcterms:modified xsi:type="dcterms:W3CDTF">2020-07-21T12:20:26Z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HYMAN,BARBARA R</vt:lpwstr>
  </property>
  <property fmtid="{D5CDD505-2E9C-101B-9397-08002B2CF9AE}" pid="4" name="display_urn:schemas-microsoft-com:office:office#Auth">
    <vt:lpwstr>Scott A. Smith</vt:lpwstr>
  </property>
</Properties>
</file>